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updateLinks="never" codeName="ThisWorkbook" defaultThemeVersion="124226"/>
  <mc:AlternateContent xmlns:mc="http://schemas.openxmlformats.org/markup-compatibility/2006">
    <mc:Choice Requires="x15">
      <x15ac:absPath xmlns:x15ac="http://schemas.microsoft.com/office/spreadsheetml/2010/11/ac" url="H:\PROJECTS\2 LCE\1 CleanBC Custom\___Guidelines___\2022\New folder\"/>
    </mc:Choice>
  </mc:AlternateContent>
  <xr:revisionPtr revIDLastSave="0" documentId="13_ncr:1_{D2B548E4-D631-4790-93B3-D1DF586E7CAC}" xr6:coauthVersionLast="46" xr6:coauthVersionMax="46" xr10:uidLastSave="{00000000-0000-0000-0000-000000000000}"/>
  <workbookProtection workbookAlgorithmName="SHA-512" workbookHashValue="C3HoEWSPbfx/Ub/GKLhCydCvSRZA9EzfBHe7reRLxTWvti7qwZuzeYkh3MbY1dS8C5uFXDkGn6RWXBCjvqTGSQ==" workbookSaltValue="xDZJSBKZupAvfwFnwQDJUA==" workbookSpinCount="100000" lockStructure="1"/>
  <bookViews>
    <workbookView xWindow="-120" yWindow="-120" windowWidth="29040" windowHeight="15840" tabRatio="786" xr2:uid="{00000000-000D-0000-FFFF-FFFF00000000}"/>
  </bookViews>
  <sheets>
    <sheet name="Instructions" sheetId="13" r:id="rId1"/>
    <sheet name="1.0 Pre-Screen" sheetId="9" r:id="rId2"/>
    <sheet name="Variables" sheetId="8" state="hidden" r:id="rId3"/>
    <sheet name="2.0 Proposal" sheetId="14" r:id="rId4"/>
    <sheet name="3.0 Study Results" sheetId="16" r:id="rId5"/>
    <sheet name="4.0 Report Summary" sheetId="17" r:id="rId6"/>
    <sheet name="xRM Fields" sheetId="21" state="hidden" r:id="rId7"/>
    <sheet name="Prescreening Review" sheetId="18" r:id="rId8"/>
    <sheet name="Capacity Review" sheetId="27" state="hidden" r:id="rId9"/>
    <sheet name="Proposal Review" sheetId="19" r:id="rId10"/>
    <sheet name="Study Review" sheetId="20" r:id="rId11"/>
    <sheet name="Supporting Information" sheetId="23" r:id="rId12"/>
    <sheet name="Schedule B" sheetId="25" state="hidden" r:id="rId13"/>
    <sheet name="Schedule C" sheetId="26" state="hidden" r:id="rId14"/>
  </sheets>
  <externalReferences>
    <externalReference r:id="rId15"/>
  </externalReferences>
  <definedNames>
    <definedName name="_xlnm._FilterDatabase" localSheetId="4" hidden="1">'3.0 Study Results'!$A$7:$A$43</definedName>
    <definedName name="_xlnm._FilterDatabase" localSheetId="2" hidden="1">Variables!$AT$1:$AU$39</definedName>
    <definedName name="Aviation">Variables!$CS$3:$CS$4</definedName>
    <definedName name="BuildingTypes">INDEX(Table18[Building type],1,1):INDEX(Table18[Building type],COUNTA(Table18[Building type]),1)</definedName>
    <definedName name="CheckDec">'Schedule B'!$B$33</definedName>
    <definedName name="CommEUs" localSheetId="0">INDEX(Table18[Commercial End Uses],1,1):INDEX(Table18[Commercial End Uses],COUNTA(Table18[Commercial End Uses]),1)</definedName>
    <definedName name="CommEUs">INDEX(Table18[Commercial End Uses],1,1):INDEX(Table18[Commercial End Uses],COUNTA(Table18[Commercial End Uses]),1)</definedName>
    <definedName name="CommExpertise" localSheetId="0">INDEX(Table18[CommExpertise],1,1):INDEX(Table18[CommExpertise],COUNTA(Table18[CommExpertise]),1)</definedName>
    <definedName name="CommExpertise">INDEX(Table18[CommExpertise],1,1):INDEX(Table18[CommExpertise],COUNTA(Table18[CommExpertise]),1)</definedName>
    <definedName name="CommStudy" localSheetId="0">INDEX(Table18[Commercial Studies],1,1):INDEX(Table18[Commercial Studies],COUNTA(Table18[Commercial Studies]),1)</definedName>
    <definedName name="CommStudy">INDEX(Table18[Commercial Studies],1,1):INDEX(Table18[Commercial Studies],COUNTA(Table18[Commercial Studies]),1)</definedName>
    <definedName name="DeclareStates">'Schedule B'!$B$36:$O$38</definedName>
    <definedName name="DeclareWidth">'Schedule B'!$B$36</definedName>
    <definedName name="DHW" localSheetId="0">INDEX(Table18[DHW],1,1):INDEX(Table18[DHW],COUNTA(Table18[DHW]),1)</definedName>
    <definedName name="DHW">INDEX(Table18[DHW],1,1):INDEX(Table18[DHW],COUNTA(Table18[DHW]),1)</definedName>
    <definedName name="ECMWidth">'Schedule B'!$C$20</definedName>
    <definedName name="expD">INDEX(Table18[$/exp],1,1):INDEX(Table18[$/exp],COUNTA(Table18[$/exp]),1)</definedName>
    <definedName name="Expense1">INDEX(Table18[Exp1],1,1):INDEX(Table18[Exp1],COUNTA(Table18[Exp1]),1)</definedName>
    <definedName name="Expense2">INDEX(Table18[Exp2],1,1):INDEX(Table18[Exp2],COUNTA(Table18[Exp2]),1)</definedName>
    <definedName name="Expense3">INDEX(Table18[Exp3],1,1):INDEX(Table18[Exp3],COUNTA(Table18[Exp3]),1)</definedName>
    <definedName name="Expense4">INDEX(Table18[Exp4],1,1):INDEX(Table18[Exp4],COUNTA(Table18[Exp4]),1)</definedName>
    <definedName name="Expenses" localSheetId="0">INDEX(Table18[Expense Type],1,1):INDEX(Table18[Expense Type],COUNTA(Table18[Expense Type]),1)</definedName>
    <definedName name="Expenses">INDEX(Table18[Expense Type],1,1):INDEX(Table18[Expense Type],COUNTA(Table18[Expense Type]),1)</definedName>
    <definedName name="FileNumber">'Schedule B'!$I$4</definedName>
    <definedName name="FileNumberFortis">'Schedule B'!$M$4</definedName>
    <definedName name="FuelTypes" localSheetId="0">Table139[Fuel Type]</definedName>
    <definedName name="FuelTypes">Table139[Fuel Type]</definedName>
    <definedName name="HDPersistence">INDEX(Table18[H/D Persistence],1,1):INDEX(Table18[H/D Persistence],COUNTA(Table18[H/D Persistence]),1)</definedName>
    <definedName name="Heavyduty">Variables!$CO$3:$CO$5</definedName>
    <definedName name="HVAC" localSheetId="0">INDEX(Table18[HVAC],1,1):INDEX(Table18[HVAC],COUNTA(Table18[HVAC]),1)</definedName>
    <definedName name="HVAC">INDEX(Table18[HVAC],1,1):INDEX(Table18[HVAC],COUNTA(Table18[HVAC]),1)</definedName>
    <definedName name="HVACandDHW">INDEX(Table18[HVACandDHW],1,1):INDEX(Table18[HVACandDHW],COUNTA(Table18[HVACandDHW]),1)</definedName>
    <definedName name="HVACPerst">INDEX(Table18[HVAC Persistence],1,1):INDEX(Table18[HVAC Persistence],COUNTA(Table18[HVAC Persistence]),1)</definedName>
    <definedName name="HVACtemp">Variables!$Q$2:$Q$14</definedName>
    <definedName name="IndEUs" localSheetId="0">INDEX(Table18[Industrial End Uses],1,1):INDEX(Table18[Industrial End Uses],COUNTA(Table18[Industrial End Uses]),1)</definedName>
    <definedName name="IndEUs">INDEX(Table18[Industrial End Uses],1,1):INDEX(Table18[Industrial End Uses],COUNTA(Table18[Industrial End Uses]),1)</definedName>
    <definedName name="IndExpertise" localSheetId="0">INDEX(Table18[IndExpertise],1,1):INDEX(Table18[IndExpertise],COUNTA(Table18[IndExpertise]),1)</definedName>
    <definedName name="IndExpertise">INDEX(Table18[IndExpertise],1,1):INDEX(Table18[IndExpertise],COUNTA(Table18[IndExpertise]),1)</definedName>
    <definedName name="IndStudy" localSheetId="0">INDEX(Table18[Industrial Studies],1,1):INDEX(Table18[Industrial Studies],COUNTA(Table18[Industrial Studies]),1)</definedName>
    <definedName name="IndStudy">INDEX(Table18[Industrial Studies],1,1):INDEX(Table18[Industrial Studies],COUNTA(Table18[Industrial Studies]),1)</definedName>
    <definedName name="IndustrialMeasures" localSheetId="0">INDEX(Table18[Industrial Measures],1,1):INDEX(Table18[Industrial Measures],COUNTA(Table18[Industrial Measures]),1)</definedName>
    <definedName name="IndustrialMeasures">INDEX(Table18[Industrial Measures],1,1):INDEX(Table18[Industrial Measures],COUNTA(Table18[Industrial Measures]),1)</definedName>
    <definedName name="KAM">'Schedule B'!$C$4</definedName>
    <definedName name="LightDutyTruckSUVandMinivan" localSheetId="0">Table7[Light Duty Truck (SUV and Minivan)]</definedName>
    <definedName name="LightDutyTruckSUVandMinivan">Table7[Light Duty Truck (SUV and Minivan)]</definedName>
    <definedName name="LightDutyVehicle" localSheetId="0">Table7[Light Duty Vehicle]</definedName>
    <definedName name="LightDutyVehicle">Table7[Light Duty Vehicle]</definedName>
    <definedName name="LightExpertise" localSheetId="0">INDEX(Table18[LightExpertise],1,1):INDEX(Table18[LightExpertise],COUNTA(Table18[LightExpertise]),1)</definedName>
    <definedName name="LightExpertise">INDEX(Table18[LightExpertise],1,1):INDEX(Table18[LightExpertise],COUNTA(Table18[LightExpertise]),1)</definedName>
    <definedName name="ListTeamName" localSheetId="4">INDEX(TeamNames,1,1):INDEX(TeamNames,COUNTA(TeamNames),1)</definedName>
    <definedName name="ListTeamName" localSheetId="5">INDEX(TeamNames,1,1):INDEX(TeamNames,COUNTA(TeamNames),1)</definedName>
    <definedName name="ListTeamName" localSheetId="0">INDEX(TeamNames,1,1):INDEX(TeamNames,COUNTA(TeamNames),1)</definedName>
    <definedName name="ListTeamName" localSheetId="7">INDEX(TeamNames,1,1):INDEX(TeamNames,COUNTA(TeamNames),1)</definedName>
    <definedName name="ListTeamName" localSheetId="6">INDEX(TeamNames,1,1):INDEX(TeamNames,COUNTA(TeamNames),1)</definedName>
    <definedName name="ListTeamName">INDEX(TeamNames,1,1):INDEX(TeamNames,COUNTA(TeamNames),1)</definedName>
    <definedName name="Marine">Variables!$CR$3:$CR$4</definedName>
    <definedName name="Motorcycle">Variables!$CP$3</definedName>
    <definedName name="nameandversion">'4.0 Report Summary'!$H$2</definedName>
    <definedName name="OffRoadVehicleEquipment">Variables!$CQ$3:$CQ$5</definedName>
    <definedName name="Other">Variables!$Q$30:$Q$35</definedName>
    <definedName name="_xlnm.Print_Area" localSheetId="1">'1.0 Pre-Screen'!$B$2:$M$195</definedName>
    <definedName name="_xlnm.Print_Area" localSheetId="3">'2.0 Proposal'!$B$2:$N$142</definedName>
    <definedName name="_xlnm.Print_Area" localSheetId="4">'3.0 Study Results'!$A$1:$T$79</definedName>
    <definedName name="_xlnm.Print_Area" localSheetId="5">'4.0 Report Summary'!$B$2:$I$37</definedName>
    <definedName name="_xlnm.Print_Area" localSheetId="12">'Schedule B'!$B$2:$O$54</definedName>
    <definedName name="_xlnm.Print_Area" localSheetId="13">'Schedule C'!$B$2:$O$39</definedName>
    <definedName name="_xlnm.Print_Area" localSheetId="6">'xRM Fields'!$A$1:$M$45</definedName>
    <definedName name="Rate" localSheetId="0">INDEX(Table18[R$/kW],1,1):INDEX(Table18[R$/kW],COUNTA(Table18[R$/kW]),1)</definedName>
    <definedName name="Rate">INDEX(Table18[R$/kW],1,1):INDEX(Table18[R$/kW],COUNTA(Table18[R$/kW]),1)</definedName>
    <definedName name="Roles" localSheetId="0">INDEX(Table18[Roles],1,1):INDEX(Table18[Roles],COUNTA(Table18[Roles]),1)</definedName>
    <definedName name="Roles">INDEX(Table18[Roles],1,1):INDEX(Table18[Roles],COUNTA(Table18[Roles]),1)</definedName>
    <definedName name="Sector">'1.0 Pre-Screen'!$E$21</definedName>
    <definedName name="SectorCat" localSheetId="0">INDEX(Table18[Sector Category],1,1):INDEX(Table18[Sector Category],COUNTA(Table18[Sector Category]),1)</definedName>
    <definedName name="SectorCat">INDEX(Table18[Sector Category],1,1):INDEX(Table18[Sector Category],COUNTA(Table18[Sector Category]),1)</definedName>
    <definedName name="SiteType" localSheetId="0">INDEX(Table18[Site Type],1,1):INDEX(Table18[Site Type],COUNTA(Table18[Site Type]),1)</definedName>
    <definedName name="SiteType">INDEX(Table18[Site Type],1,1):INDEX(Table18[Site Type],COUNTA(Table18[Site Type]),1)</definedName>
    <definedName name="Transport" localSheetId="0">INDEX(Table18[Transport],1,1):INDEX(Table18[Transport],COUNTA(Table18[Transport]),1)</definedName>
    <definedName name="Transport">INDEX(Table18[Transport],1,1):INDEX(Table18[Transport],COUNTA(Table18[Transport]),1)</definedName>
    <definedName name="TransportFuelTypes" localSheetId="0">INDEX(Table18[TransportFuelType],1,1):INDEX(Table18[TransportFuelType],COUNTA(Table18[TransportFuelType]),1)</definedName>
    <definedName name="TransportFuelTypes">INDEX(Table18[TransportFuelType],1,1):INDEX(Table18[TransportFuelType],COUNTA(Table18[TransportFuelType]),1)</definedName>
    <definedName name="TransportMeasures" localSheetId="0">INDEX(Table18[Transport Measures],1,1):INDEX(Table18[Transport Measures],COUNTA(Table18[Transport Measures]),1)</definedName>
    <definedName name="TransportMeasures">INDEX(Table18[Transport Measures],1,1):INDEX(Table18[Transport Measures],COUNTA(Table18[Transport Measures]),1)</definedName>
    <definedName name="Various">Variables!$CT$3:$CT$4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98" i="9" l="1"/>
  <c r="R99" i="9"/>
  <c r="R100" i="9"/>
  <c r="R101" i="9"/>
  <c r="R97" i="9"/>
  <c r="L28" i="9" l="1"/>
  <c r="K28" i="9"/>
  <c r="F28" i="9"/>
  <c r="E28" i="9"/>
  <c r="C18" i="17" l="1"/>
  <c r="C19" i="17" s="1"/>
  <c r="BV30" i="8" l="1"/>
  <c r="BV3" i="8" s="1"/>
  <c r="D28" i="16" l="1"/>
  <c r="K41" i="9"/>
  <c r="K113" i="9"/>
  <c r="T28" i="16" l="1"/>
  <c r="N28" i="16"/>
  <c r="H28" i="16"/>
  <c r="S28" i="16"/>
  <c r="M28" i="16"/>
  <c r="G28" i="16"/>
  <c r="Q28" i="16"/>
  <c r="K28" i="16"/>
  <c r="E28" i="16"/>
  <c r="P28" i="16"/>
  <c r="J28" i="16"/>
  <c r="E35" i="16" l="1"/>
  <c r="D35" i="16"/>
  <c r="U20" i="16" l="1"/>
  <c r="U19" i="16"/>
  <c r="G52" i="9" l="1"/>
  <c r="J52" i="9"/>
  <c r="K52" i="9"/>
  <c r="G49" i="9" l="1"/>
  <c r="G50" i="9"/>
  <c r="G51" i="9"/>
  <c r="G48" i="9"/>
  <c r="K49" i="9"/>
  <c r="K50" i="9"/>
  <c r="K51" i="9"/>
  <c r="K48" i="9"/>
  <c r="J49" i="9"/>
  <c r="J50" i="9"/>
  <c r="J51" i="9"/>
  <c r="J48" i="9"/>
  <c r="H2" i="17"/>
  <c r="A4" i="20" l="1"/>
  <c r="A5" i="20" s="1"/>
  <c r="A6" i="20" s="1"/>
  <c r="A7" i="20" s="1"/>
  <c r="A8" i="20" s="1"/>
  <c r="A9" i="20" s="1"/>
  <c r="A10" i="20" s="1"/>
  <c r="A11" i="20" s="1"/>
  <c r="A12" i="20" s="1"/>
  <c r="A4" i="19"/>
  <c r="A5" i="19" s="1"/>
  <c r="A6" i="19" s="1"/>
  <c r="A7" i="19" s="1"/>
  <c r="A8" i="19" s="1"/>
  <c r="A9" i="19" s="1"/>
  <c r="A10" i="19" s="1"/>
  <c r="A11" i="19" s="1"/>
  <c r="A12" i="19" s="1"/>
  <c r="A4" i="18"/>
  <c r="A5" i="18" s="1"/>
  <c r="A6" i="18" s="1"/>
  <c r="A7" i="18" s="1"/>
  <c r="A8" i="18" s="1"/>
  <c r="A9" i="18" s="1"/>
  <c r="A10" i="18" s="1"/>
  <c r="A11" i="18" s="1"/>
  <c r="A12" i="18" s="1"/>
  <c r="P12" i="16" l="1"/>
  <c r="M12" i="16"/>
  <c r="J12" i="16"/>
  <c r="G12" i="16"/>
  <c r="D12" i="16"/>
  <c r="F53" i="21" l="1"/>
  <c r="O1" i="16" l="1"/>
  <c r="D28" i="27" l="1"/>
  <c r="B29" i="27" s="1"/>
  <c r="D27" i="27"/>
  <c r="D23" i="27"/>
  <c r="H10" i="27" l="1"/>
  <c r="D15" i="27" l="1"/>
  <c r="D11" i="27"/>
  <c r="D16" i="27" s="1"/>
  <c r="B17" i="27" s="1"/>
  <c r="H11" i="27" l="1"/>
  <c r="F14" i="27" s="1"/>
  <c r="M27" i="9" l="1"/>
  <c r="G27" i="9"/>
  <c r="M2" i="14" l="1"/>
  <c r="K114" i="9"/>
  <c r="M7" i="14" l="1"/>
  <c r="D4" i="17"/>
  <c r="Q34" i="16" l="1"/>
  <c r="P34" i="16"/>
  <c r="N34" i="16"/>
  <c r="M34" i="16"/>
  <c r="K34" i="16"/>
  <c r="J34" i="16"/>
  <c r="H34" i="16"/>
  <c r="G34" i="16"/>
  <c r="B22" i="25" l="1"/>
  <c r="B23" i="25"/>
  <c r="B24" i="25"/>
  <c r="B25" i="25"/>
  <c r="C13" i="25"/>
  <c r="C10" i="25"/>
  <c r="C13" i="26" s="1"/>
  <c r="M4" i="26"/>
  <c r="C4" i="26"/>
  <c r="F41" i="25"/>
  <c r="B21" i="25"/>
  <c r="K117" i="9" l="1"/>
  <c r="K116" i="9"/>
  <c r="U48" i="16" l="1"/>
  <c r="C34" i="17" l="1"/>
  <c r="U17" i="16" l="1"/>
  <c r="U18" i="16"/>
  <c r="D23" i="16"/>
  <c r="G7" i="14"/>
  <c r="F6" i="9"/>
  <c r="F60" i="21" l="1"/>
  <c r="F15" i="17" l="1"/>
  <c r="H36" i="17" l="1"/>
  <c r="G36" i="17"/>
  <c r="H35" i="17"/>
  <c r="G35" i="17"/>
  <c r="H34" i="17"/>
  <c r="G34" i="17"/>
  <c r="E34" i="17"/>
  <c r="C35" i="17"/>
  <c r="E35" i="17"/>
  <c r="E36" i="17"/>
  <c r="E37" i="17"/>
  <c r="E4" i="17"/>
  <c r="U54" i="16"/>
  <c r="U42" i="16"/>
  <c r="U46" i="16"/>
  <c r="U47" i="16"/>
  <c r="U45" i="16"/>
  <c r="G39" i="16"/>
  <c r="J39" i="16"/>
  <c r="M39" i="16"/>
  <c r="P39" i="16"/>
  <c r="D39" i="16"/>
  <c r="G35" i="16" l="1"/>
  <c r="H35" i="16"/>
  <c r="J35" i="16" l="1"/>
  <c r="K35" i="16" l="1"/>
  <c r="M35" i="16" l="1"/>
  <c r="N35" i="16" l="1"/>
  <c r="Q35" i="16" l="1"/>
  <c r="P35" i="16"/>
  <c r="F54" i="21" l="1"/>
  <c r="G28" i="21" l="1"/>
  <c r="U39" i="16"/>
  <c r="S5" i="16" l="1"/>
  <c r="P59" i="16" l="1"/>
  <c r="M59" i="16"/>
  <c r="J59" i="16"/>
  <c r="G59" i="16"/>
  <c r="D59" i="16"/>
  <c r="Q49" i="16"/>
  <c r="P49" i="16"/>
  <c r="N49" i="16"/>
  <c r="M49" i="16"/>
  <c r="K49" i="16"/>
  <c r="J49" i="16"/>
  <c r="J58" i="16" s="1"/>
  <c r="H49" i="16"/>
  <c r="G49" i="16"/>
  <c r="E49" i="16"/>
  <c r="D49" i="16"/>
  <c r="P58" i="16" l="1"/>
  <c r="M58" i="16"/>
  <c r="D58" i="16"/>
  <c r="G58" i="16"/>
  <c r="P40" i="16"/>
  <c r="M40" i="16"/>
  <c r="J40" i="16"/>
  <c r="G40" i="16"/>
  <c r="D40" i="16"/>
  <c r="D26" i="16" l="1"/>
  <c r="D27" i="16" s="1"/>
  <c r="G14" i="16"/>
  <c r="H14" i="16"/>
  <c r="J14" i="16"/>
  <c r="K14" i="16"/>
  <c r="M14" i="16"/>
  <c r="N14" i="16"/>
  <c r="P14" i="16"/>
  <c r="Q14" i="16"/>
  <c r="E14" i="16"/>
  <c r="D14" i="16"/>
  <c r="S19" i="16" l="1"/>
  <c r="S20" i="16"/>
  <c r="T20" i="16"/>
  <c r="T19" i="16"/>
  <c r="E26" i="16"/>
  <c r="S17" i="16"/>
  <c r="S18" i="16"/>
  <c r="T18" i="16"/>
  <c r="T17" i="16"/>
  <c r="S54" i="16"/>
  <c r="T15" i="16"/>
  <c r="S15" i="16"/>
  <c r="T46" i="16"/>
  <c r="T47" i="16"/>
  <c r="T45" i="16"/>
  <c r="T51" i="16"/>
  <c r="F64" i="21" s="1"/>
  <c r="S51" i="16"/>
  <c r="F62" i="21" s="1"/>
  <c r="S47" i="16"/>
  <c r="S46" i="16"/>
  <c r="S45" i="16"/>
  <c r="S25" i="16"/>
  <c r="T25" i="16"/>
  <c r="T21" i="16"/>
  <c r="S21" i="16"/>
  <c r="T16" i="16"/>
  <c r="S24" i="16"/>
  <c r="S16" i="16"/>
  <c r="T24" i="16"/>
  <c r="G26" i="16" l="1"/>
  <c r="S39" i="16"/>
  <c r="S59" i="16"/>
  <c r="T49" i="16"/>
  <c r="F63" i="21" s="1"/>
  <c r="S49" i="16"/>
  <c r="F61" i="21" s="1"/>
  <c r="S40" i="16"/>
  <c r="C14" i="17" s="1"/>
  <c r="H26" i="16" l="1"/>
  <c r="S58" i="16"/>
  <c r="G16" i="25" s="1"/>
  <c r="G4" i="17"/>
  <c r="B15" i="17"/>
  <c r="C10" i="17"/>
  <c r="C8" i="17"/>
  <c r="D8" i="17"/>
  <c r="J26" i="16" l="1"/>
  <c r="G14" i="17"/>
  <c r="G29" i="17"/>
  <c r="C16" i="25" s="1"/>
  <c r="I18" i="26" s="1"/>
  <c r="K26" i="16" l="1"/>
  <c r="M61" i="16"/>
  <c r="J61" i="16"/>
  <c r="D61" i="16"/>
  <c r="P61" i="16"/>
  <c r="G61" i="16"/>
  <c r="M26" i="16" l="1"/>
  <c r="R103" i="9"/>
  <c r="B13" i="17"/>
  <c r="C7" i="17"/>
  <c r="G6" i="17"/>
  <c r="C6" i="17"/>
  <c r="N26" i="16" l="1"/>
  <c r="L121" i="9"/>
  <c r="B122" i="9" s="1"/>
  <c r="K9" i="21"/>
  <c r="K6" i="21" s="1"/>
  <c r="J9" i="21"/>
  <c r="J6" i="21" s="1"/>
  <c r="I9" i="21"/>
  <c r="I6" i="21" s="1"/>
  <c r="H9" i="21"/>
  <c r="H6" i="21" s="1"/>
  <c r="G9" i="21"/>
  <c r="G6" i="21" s="1"/>
  <c r="P5" i="16"/>
  <c r="M5" i="16"/>
  <c r="H5" i="16"/>
  <c r="G7" i="17" s="1"/>
  <c r="B5" i="16"/>
  <c r="C5" i="17" s="1"/>
  <c r="U62" i="16"/>
  <c r="U61" i="16"/>
  <c r="U60" i="16"/>
  <c r="U59" i="16"/>
  <c r="U58" i="16"/>
  <c r="U56" i="16"/>
  <c r="U55" i="16"/>
  <c r="U53" i="16"/>
  <c r="U43" i="16"/>
  <c r="U41" i="16"/>
  <c r="U40" i="16"/>
  <c r="U38" i="16"/>
  <c r="U36" i="16"/>
  <c r="U35" i="16"/>
  <c r="U34" i="16"/>
  <c r="U33" i="16"/>
  <c r="U32" i="16"/>
  <c r="U31" i="16"/>
  <c r="U29" i="16"/>
  <c r="U28" i="16"/>
  <c r="U27" i="16"/>
  <c r="U26" i="16"/>
  <c r="U25" i="16"/>
  <c r="U24" i="16"/>
  <c r="U23" i="16"/>
  <c r="U21" i="16"/>
  <c r="U16" i="16"/>
  <c r="U15" i="16"/>
  <c r="B23" i="17" l="1" a="1"/>
  <c r="B27" i="17" s="1"/>
  <c r="P26" i="16"/>
  <c r="H17" i="21"/>
  <c r="H16" i="21"/>
  <c r="G17" i="21"/>
  <c r="G16" i="21"/>
  <c r="K17" i="21"/>
  <c r="K16" i="21"/>
  <c r="J17" i="21"/>
  <c r="J16" i="21"/>
  <c r="I17" i="21"/>
  <c r="I16" i="21"/>
  <c r="J15" i="21"/>
  <c r="H15" i="21"/>
  <c r="H13" i="21"/>
  <c r="H14" i="21" s="1"/>
  <c r="I15" i="21"/>
  <c r="G13" i="21"/>
  <c r="G14" i="21" s="1"/>
  <c r="G15" i="21"/>
  <c r="K15" i="21"/>
  <c r="K13" i="21"/>
  <c r="K14" i="21" s="1"/>
  <c r="J13" i="21"/>
  <c r="J14" i="21" s="1"/>
  <c r="I13" i="21"/>
  <c r="I14" i="21" s="1"/>
  <c r="J8" i="21"/>
  <c r="J10" i="21"/>
  <c r="G8" i="21"/>
  <c r="G10" i="21"/>
  <c r="H20" i="21"/>
  <c r="G20" i="21"/>
  <c r="I20" i="21"/>
  <c r="J20" i="21"/>
  <c r="H10" i="21"/>
  <c r="H8" i="21"/>
  <c r="K20" i="21"/>
  <c r="K10" i="21"/>
  <c r="K8" i="21"/>
  <c r="K11" i="21"/>
  <c r="I10" i="21"/>
  <c r="I8" i="21"/>
  <c r="G11" i="21"/>
  <c r="B24" i="17" l="1"/>
  <c r="B23" i="17"/>
  <c r="B25" i="17"/>
  <c r="B26" i="17"/>
  <c r="Q26" i="16"/>
  <c r="H19" i="21"/>
  <c r="H4" i="21"/>
  <c r="K19" i="21"/>
  <c r="K4" i="21"/>
  <c r="J19" i="21"/>
  <c r="J4" i="21"/>
  <c r="I19" i="21"/>
  <c r="I4" i="21"/>
  <c r="G23" i="17" a="1"/>
  <c r="G26" i="17" s="1"/>
  <c r="G19" i="21"/>
  <c r="G4" i="21"/>
  <c r="G34" i="21"/>
  <c r="F58" i="21" s="1"/>
  <c r="G27" i="21"/>
  <c r="C25" i="25"/>
  <c r="G26" i="21"/>
  <c r="H23" i="17" a="1"/>
  <c r="H26" i="17" s="1"/>
  <c r="H11" i="21"/>
  <c r="L118" i="9"/>
  <c r="S26" i="16" l="1"/>
  <c r="G33" i="21"/>
  <c r="G24" i="17"/>
  <c r="G27" i="17"/>
  <c r="G23" i="17"/>
  <c r="G25" i="17"/>
  <c r="C21" i="25"/>
  <c r="C22" i="25"/>
  <c r="C23" i="25"/>
  <c r="C24" i="25"/>
  <c r="H27" i="17"/>
  <c r="H25" i="17"/>
  <c r="H23" i="17"/>
  <c r="H24" i="17"/>
  <c r="I11" i="21"/>
  <c r="L49" i="9"/>
  <c r="L48" i="9"/>
  <c r="M65" i="9"/>
  <c r="T26" i="16" l="1"/>
  <c r="J11" i="21"/>
  <c r="B83" i="14"/>
  <c r="L83" i="14" s="1"/>
  <c r="B84" i="14"/>
  <c r="L84" i="14" s="1"/>
  <c r="B85" i="14"/>
  <c r="L85" i="14" s="1"/>
  <c r="B86" i="14"/>
  <c r="B87" i="14"/>
  <c r="B88" i="14"/>
  <c r="L88" i="14" s="1"/>
  <c r="B89" i="14"/>
  <c r="L89" i="14" s="1"/>
  <c r="B90" i="14"/>
  <c r="L90" i="14" s="1"/>
  <c r="B91" i="14"/>
  <c r="L91" i="14" s="1"/>
  <c r="B82" i="14"/>
  <c r="L82" i="14" s="1"/>
  <c r="M102" i="14"/>
  <c r="K102" i="14"/>
  <c r="H102" i="14"/>
  <c r="F102" i="14"/>
  <c r="D102" i="14"/>
  <c r="M101" i="14"/>
  <c r="K101" i="14"/>
  <c r="H101" i="14"/>
  <c r="F101" i="14"/>
  <c r="D101" i="14"/>
  <c r="M100" i="14"/>
  <c r="K100" i="14"/>
  <c r="H100" i="14"/>
  <c r="F100" i="14"/>
  <c r="D100" i="14"/>
  <c r="K99" i="14"/>
  <c r="H99" i="14"/>
  <c r="M99" i="14" s="1"/>
  <c r="F99" i="14"/>
  <c r="D99" i="14"/>
  <c r="K98" i="14"/>
  <c r="H98" i="14"/>
  <c r="M98" i="14" s="1"/>
  <c r="F98" i="14"/>
  <c r="D98" i="14"/>
  <c r="K97" i="14"/>
  <c r="H97" i="14"/>
  <c r="M97" i="14" s="1"/>
  <c r="F97" i="14"/>
  <c r="D97" i="14"/>
  <c r="K96" i="14"/>
  <c r="H96" i="14"/>
  <c r="M96" i="14" s="1"/>
  <c r="F96" i="14"/>
  <c r="D96" i="14"/>
  <c r="K95" i="14"/>
  <c r="H95" i="14"/>
  <c r="F95" i="14"/>
  <c r="D95" i="14"/>
  <c r="L87" i="14"/>
  <c r="L86" i="14"/>
  <c r="M95" i="14" l="1"/>
  <c r="M103" i="14" s="1"/>
  <c r="L92" i="14"/>
  <c r="M104" i="14" l="1"/>
  <c r="L119" i="9" l="1"/>
  <c r="B120" i="9" s="1"/>
  <c r="H43" i="9" l="1"/>
  <c r="I43" i="9" s="1"/>
  <c r="I41" i="9"/>
  <c r="K115" i="9" l="1"/>
  <c r="CI23" i="8" l="1"/>
  <c r="CH23" i="8"/>
  <c r="CI22" i="8"/>
  <c r="CH22" i="8"/>
  <c r="CI21" i="8"/>
  <c r="CH21" i="8"/>
  <c r="CI20" i="8"/>
  <c r="CH20" i="8"/>
  <c r="CI19" i="8"/>
  <c r="CH19" i="8"/>
  <c r="CI18" i="8"/>
  <c r="CH18" i="8"/>
  <c r="CI17" i="8"/>
  <c r="CH17" i="8"/>
  <c r="CI16" i="8"/>
  <c r="CH16" i="8"/>
  <c r="BJ16" i="8"/>
  <c r="BI16" i="8"/>
  <c r="BH16" i="8"/>
  <c r="CI15" i="8"/>
  <c r="CH15" i="8"/>
  <c r="BJ15" i="8"/>
  <c r="BI15" i="8"/>
  <c r="BH15" i="8"/>
  <c r="CI14" i="8"/>
  <c r="CH14" i="8"/>
  <c r="CI13" i="8"/>
  <c r="CH13" i="8"/>
  <c r="CI12" i="8"/>
  <c r="CH12" i="8"/>
  <c r="CI11" i="8"/>
  <c r="CH11" i="8"/>
  <c r="CI10" i="8"/>
  <c r="CH10" i="8"/>
  <c r="CI9" i="8"/>
  <c r="CH9" i="8"/>
  <c r="CI8" i="8"/>
  <c r="CH8" i="8"/>
  <c r="CI7" i="8"/>
  <c r="CH7" i="8"/>
  <c r="CI6" i="8"/>
  <c r="CH6" i="8"/>
  <c r="CI5" i="8"/>
  <c r="CH5" i="8"/>
  <c r="CI4" i="8"/>
  <c r="CH4" i="8"/>
  <c r="CI3" i="8"/>
  <c r="CH3" i="8"/>
  <c r="B25" i="14"/>
  <c r="B21" i="14"/>
  <c r="B19" i="14"/>
  <c r="B17" i="14"/>
  <c r="L52" i="9"/>
  <c r="I52" i="9"/>
  <c r="L51" i="9"/>
  <c r="I51" i="9"/>
  <c r="L50" i="9"/>
  <c r="I50" i="9"/>
  <c r="I49" i="9"/>
  <c r="I48" i="9"/>
  <c r="G43" i="9"/>
  <c r="G42" i="9"/>
  <c r="L41" i="9"/>
  <c r="M6" i="9"/>
  <c r="L62" i="9" l="1"/>
  <c r="B41" i="16"/>
  <c r="E23" i="16"/>
  <c r="E27" i="16" s="1"/>
  <c r="L53" i="9"/>
  <c r="I44" i="9"/>
  <c r="I53" i="9"/>
  <c r="J53" i="9"/>
  <c r="L61" i="9" s="1"/>
  <c r="G23" i="16" l="1"/>
  <c r="G27" i="16" s="1"/>
  <c r="P23" i="16"/>
  <c r="P27" i="16" s="1"/>
  <c r="N23" i="16"/>
  <c r="N27" i="16" s="1"/>
  <c r="M23" i="16"/>
  <c r="M27" i="16" s="1"/>
  <c r="J23" i="16"/>
  <c r="J27" i="16" s="1"/>
  <c r="E29" i="16"/>
  <c r="S23" i="16"/>
  <c r="S27" i="16" s="1"/>
  <c r="Q23" i="16"/>
  <c r="Q27" i="16" s="1"/>
  <c r="H23" i="16"/>
  <c r="H27" i="16" s="1"/>
  <c r="T23" i="16"/>
  <c r="T27" i="16" s="1"/>
  <c r="K23" i="16"/>
  <c r="K27" i="16" s="1"/>
  <c r="E32" i="16"/>
  <c r="K32" i="16"/>
  <c r="K36" i="16" s="1"/>
  <c r="Q32" i="16"/>
  <c r="Q36" i="16" s="1"/>
  <c r="G32" i="16"/>
  <c r="G36" i="16" s="1"/>
  <c r="M32" i="16"/>
  <c r="M36" i="16" s="1"/>
  <c r="H32" i="16"/>
  <c r="H36" i="16" s="1"/>
  <c r="N32" i="16"/>
  <c r="N36" i="16" s="1"/>
  <c r="J32" i="16"/>
  <c r="J36" i="16" s="1"/>
  <c r="P32" i="16"/>
  <c r="P36" i="16" s="1"/>
  <c r="S32" i="16"/>
  <c r="T32" i="16"/>
  <c r="D32" i="16"/>
  <c r="L60" i="9"/>
  <c r="K126" i="9"/>
  <c r="D36" i="16" l="1"/>
  <c r="S36" i="16" s="1"/>
  <c r="S35" i="16" s="1"/>
  <c r="D34" i="16"/>
  <c r="E36" i="16"/>
  <c r="E34" i="16"/>
  <c r="P38" i="16"/>
  <c r="K18" i="21" s="1"/>
  <c r="J29" i="16"/>
  <c r="P29" i="16"/>
  <c r="G38" i="16"/>
  <c r="G29" i="16"/>
  <c r="P41" i="16"/>
  <c r="M41" i="16"/>
  <c r="N29" i="16"/>
  <c r="M38" i="16"/>
  <c r="J41" i="16"/>
  <c r="J38" i="16"/>
  <c r="G41" i="16"/>
  <c r="D38" i="16"/>
  <c r="D41" i="16"/>
  <c r="S38" i="16"/>
  <c r="C13" i="17" s="1"/>
  <c r="S41" i="16"/>
  <c r="C15" i="17" s="1"/>
  <c r="M29" i="16"/>
  <c r="K29" i="16"/>
  <c r="S29" i="16"/>
  <c r="Q29" i="16"/>
  <c r="T29" i="16"/>
  <c r="H29" i="16"/>
  <c r="D29" i="16"/>
  <c r="F18" i="17" l="1"/>
  <c r="F19" i="17" s="1"/>
  <c r="P60" i="16"/>
  <c r="J42" i="16"/>
  <c r="J53" i="16" s="1"/>
  <c r="P42" i="16"/>
  <c r="P53" i="16" s="1"/>
  <c r="T34" i="16"/>
  <c r="T33" i="16" s="1"/>
  <c r="T36" i="16"/>
  <c r="T35" i="16" s="1"/>
  <c r="D42" i="16"/>
  <c r="M60" i="16"/>
  <c r="S34" i="16"/>
  <c r="S33" i="16" s="1"/>
  <c r="G42" i="16"/>
  <c r="M42" i="16"/>
  <c r="G60" i="16"/>
  <c r="J60" i="16"/>
  <c r="D60" i="16"/>
  <c r="K12" i="21"/>
  <c r="H18" i="21"/>
  <c r="I18" i="21"/>
  <c r="G18" i="21"/>
  <c r="H12" i="21"/>
  <c r="G12" i="21"/>
  <c r="I12" i="21"/>
  <c r="J12" i="21"/>
  <c r="P62" i="16" l="1"/>
  <c r="F55" i="21"/>
  <c r="G53" i="16"/>
  <c r="D53" i="16"/>
  <c r="M53" i="16"/>
  <c r="S42" i="16"/>
  <c r="S60" i="16"/>
  <c r="D62" i="16"/>
  <c r="J62" i="16"/>
  <c r="M62" i="16"/>
  <c r="G62" i="16"/>
  <c r="J18" i="21"/>
  <c r="C23" i="17" s="1" a="1"/>
  <c r="D23" i="17" a="1"/>
  <c r="D26" i="17" s="1"/>
  <c r="G30" i="21"/>
  <c r="G15" i="17" l="1"/>
  <c r="S62" i="16"/>
  <c r="T63" i="16" s="1"/>
  <c r="G13" i="17"/>
  <c r="G32" i="21"/>
  <c r="F57" i="21" s="1"/>
  <c r="K22" i="21"/>
  <c r="D23" i="17"/>
  <c r="D24" i="17"/>
  <c r="D25" i="17"/>
  <c r="D27" i="17"/>
  <c r="I22" i="21"/>
  <c r="J22" i="21"/>
  <c r="H22" i="21"/>
  <c r="G22" i="21"/>
  <c r="C24" i="17"/>
  <c r="F24" i="17" s="1"/>
  <c r="I24" i="17" s="1"/>
  <c r="C26" i="17"/>
  <c r="F26" i="17" s="1"/>
  <c r="I26" i="17" s="1"/>
  <c r="C27" i="17"/>
  <c r="F27" i="17" s="1"/>
  <c r="I27" i="17" s="1"/>
  <c r="C23" i="17"/>
  <c r="F23" i="17" s="1"/>
  <c r="C25" i="17"/>
  <c r="F25" i="17" s="1"/>
  <c r="I25" i="17" s="1"/>
  <c r="S12" i="16"/>
  <c r="F65" i="21" s="1"/>
  <c r="S43" i="16" l="1"/>
  <c r="D10" i="17" s="1"/>
  <c r="B11" i="17" s="1"/>
  <c r="G36" i="21"/>
  <c r="F56" i="21" s="1"/>
  <c r="S61" i="16"/>
  <c r="S53" i="16"/>
  <c r="D29" i="17"/>
  <c r="G31" i="21"/>
  <c r="I23" i="17"/>
  <c r="F29" i="17"/>
  <c r="I29" i="17" s="1"/>
  <c r="I30" i="17" s="1"/>
  <c r="E23" i="17" a="1"/>
  <c r="G8" i="17"/>
  <c r="H29" i="17"/>
  <c r="C29" i="17"/>
  <c r="Q43" i="16" l="1"/>
  <c r="K16" i="25"/>
  <c r="E26" i="17"/>
  <c r="K24" i="25" s="1"/>
  <c r="E23" i="17"/>
  <c r="K21" i="25" s="1"/>
  <c r="E27" i="17"/>
  <c r="K25" i="25" s="1"/>
  <c r="E24" i="17"/>
  <c r="K22" i="25" s="1"/>
  <c r="E25" i="17"/>
  <c r="K23" i="25" s="1"/>
  <c r="E29"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tc={702B27F8-4A70-40FD-9A37-11EDDCA36E4F}</author>
    <author>tc={CD430C96-ED80-44A9-B7FA-013D243235F1}</author>
    <author>tc={DF5A225D-8E02-47E1-A141-A87820B39ECA}</author>
    <author>tc={97025C45-251F-4104-BB5B-1F88A55E7542}</author>
    <author>tc={C6E2DF0F-680D-4DF2-8EAF-24C14A13BE27}</author>
    <author>tc={C4ED8D4C-EE3A-41B9-92CB-F8AFD94B55B0}</author>
    <author>tc={83F86D18-977F-4177-94D1-60B2B3EA4630}</author>
  </authors>
  <commentList>
    <comment ref="AJ2" authorId="0" shapeId="0" xr:uid="{702B27F8-4A70-40FD-9A37-11EDDCA36E4F}">
      <text>
        <t>[Threaded comment]
Your version of Excel allows you to read this threaded comment; however, any edits to it will get removed if the file is opened in a newer version of Excel. Learn more: https://go.microsoft.com/fwlink/?linkid=870924
Comment:
    https://app.bchydro.com/accounts-billing/rates-energy-use/electricity-rates/business-rates.html#lgs</t>
      </text>
    </comment>
    <comment ref="AK2" authorId="1" shapeId="0" xr:uid="{CD430C96-ED80-44A9-B7FA-013D243235F1}">
      <text>
        <t>[Threaded comment]
Your version of Excel allows you to read this threaded comment; however, any edits to it will get removed if the file is opened in a newer version of Excel. Learn more: https://go.microsoft.com/fwlink/?linkid=870924
Comment:
    https://app.bchydro.com/accounts-billing/rates-energy-use/electricity-rates/business-rates.html#lgs</t>
      </text>
    </comment>
    <comment ref="AJ3" authorId="2" shapeId="0" xr:uid="{DF5A225D-8E02-47E1-A141-A87820B39ECA}">
      <text>
        <t>[Threaded comment]
Your version of Excel allows you to read this threaded comment; however, any edits to it will get removed if the file is opened in a newer version of Excel. Learn more: https://go.microsoft.com/fwlink/?linkid=870924
Comment:
    https://app.bchydro.com/accounts-billing/rates-energy-use/electricity-rates/business-rates.html#lgs</t>
      </text>
    </comment>
    <comment ref="AK3" authorId="3" shapeId="0" xr:uid="{97025C45-251F-4104-BB5B-1F88A55E7542}">
      <text>
        <t>[Threaded comment]
Your version of Excel allows you to read this threaded comment; however, any edits to it will get removed if the file is opened in a newer version of Excel. Learn more: https://go.microsoft.com/fwlink/?linkid=870924
Comment:
    https://app.bchydro.com/accounts-billing/rates-energy-use/electricity-rates/business-rates.html#lgs</t>
      </text>
    </comment>
    <comment ref="AJ4" authorId="4" shapeId="0" xr:uid="{C6E2DF0F-680D-4DF2-8EAF-24C14A13BE27}">
      <text>
        <t>[Threaded comment]
Your version of Excel allows you to read this threaded comment; however, any edits to it will get removed if the file is opened in a newer version of Excel. Learn more: https://go.microsoft.com/fwlink/?linkid=870924
Comment:
    https://app.bchydro.com/accounts-billing/rates-energy-use/electricity-rates/business-rates.html#lgs</t>
      </text>
    </comment>
    <comment ref="AJ5" authorId="5" shapeId="0" xr:uid="{C4ED8D4C-EE3A-41B9-92CB-F8AFD94B55B0}">
      <text>
        <t>[Threaded comment]
Your version of Excel allows you to read this threaded comment; however, any edits to it will get removed if the file is opened in a newer version of Excel. Learn more: https://go.microsoft.com/fwlink/?linkid=870924
Comment:
    https://app.bchydro.com/accounts-billing/rates-energy-use/electricity-rates/transmission_rate.html</t>
      </text>
    </comment>
    <comment ref="AK5" authorId="6" shapeId="0" xr:uid="{83F86D18-977F-4177-94D1-60B2B3EA4630}">
      <text>
        <t>[Threaded comment]
Your version of Excel allows you to read this threaded comment; however, any edits to it will get removed if the file is opened in a newer version of Excel. Learn more: https://go.microsoft.com/fwlink/?linkid=870924
Comment:
    https://app.bchydro.com/accounts-billing/rates-energy-use/electricity-rates/transmission_rate.html</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Broers, Niels</author>
  </authors>
  <commentList>
    <comment ref="E14" authorId="0" shapeId="0" xr:uid="{00000000-0006-0000-0800-000001000000}">
      <text>
        <r>
          <rPr>
            <b/>
            <sz val="9"/>
            <color indexed="81"/>
            <rFont val="Tahoma"/>
            <family val="2"/>
          </rPr>
          <t>Broers, Niels:</t>
        </r>
        <r>
          <rPr>
            <sz val="9"/>
            <color indexed="81"/>
            <rFont val="Tahoma"/>
            <family val="2"/>
          </rPr>
          <t xml:space="preserve">
- Assume .9 PF
- Default is the load from the PreScreen.  Enter new load if applicable.</t>
        </r>
      </text>
    </comment>
    <comment ref="E26" authorId="0" shapeId="0" xr:uid="{00000000-0006-0000-0800-000002000000}">
      <text>
        <r>
          <rPr>
            <b/>
            <sz val="9"/>
            <color indexed="81"/>
            <rFont val="Tahoma"/>
            <family val="2"/>
          </rPr>
          <t>Broers, Niels:</t>
        </r>
        <r>
          <rPr>
            <sz val="9"/>
            <color indexed="81"/>
            <rFont val="Tahoma"/>
            <family val="2"/>
          </rPr>
          <t xml:space="preserve">
- Assume .9 PF
- Default is the load from the PreScreen.  Enter new load if applicable.</t>
        </r>
      </text>
    </comment>
  </commentList>
</comments>
</file>

<file path=xl/sharedStrings.xml><?xml version="1.0" encoding="utf-8"?>
<sst xmlns="http://schemas.openxmlformats.org/spreadsheetml/2006/main" count="1539" uniqueCount="920">
  <si>
    <t>Diesel</t>
  </si>
  <si>
    <t>Baseline</t>
  </si>
  <si>
    <t>Natural Gas</t>
  </si>
  <si>
    <t>Gasoline</t>
  </si>
  <si>
    <t>Date:</t>
  </si>
  <si>
    <t>Units</t>
  </si>
  <si>
    <t>Purchased</t>
  </si>
  <si>
    <t>Other</t>
  </si>
  <si>
    <t>kW</t>
  </si>
  <si>
    <t>Electrical Energy</t>
  </si>
  <si>
    <t>Quantity</t>
  </si>
  <si>
    <t>$ per Year</t>
  </si>
  <si>
    <t>E_Factor
tCO2e/GWh</t>
  </si>
  <si>
    <t>GHG emissions (tonneCO2e/yr)</t>
  </si>
  <si>
    <t>kWh/yr</t>
  </si>
  <si>
    <t>Fuel Type</t>
  </si>
  <si>
    <t>Wood Fuel - Residential (0% moisture)</t>
  </si>
  <si>
    <t>Wood Fuel - Industrial (50% moisture)</t>
  </si>
  <si>
    <t>Renewable Natural Gas</t>
  </si>
  <si>
    <t>Light Duty Vehicle</t>
  </si>
  <si>
    <t>Gasoline (L)</t>
  </si>
  <si>
    <t>Light Duty Truck (SUV and Minivan)</t>
  </si>
  <si>
    <t>Propane (L)</t>
  </si>
  <si>
    <t>Heavy-duty</t>
  </si>
  <si>
    <t>Diesel (L)</t>
  </si>
  <si>
    <t>Motorcycle</t>
  </si>
  <si>
    <t>Off-Road (Vehicle/Equipment)</t>
  </si>
  <si>
    <t>Natural Gas (kg)</t>
  </si>
  <si>
    <t>Marine</t>
  </si>
  <si>
    <t>Aviation</t>
  </si>
  <si>
    <t>Turbo Fuel (L)</t>
  </si>
  <si>
    <t>Various</t>
  </si>
  <si>
    <t>Biodiesel (L)</t>
  </si>
  <si>
    <t>Table 1: Stationary Fuel Combustion</t>
  </si>
  <si>
    <t>Table 2: Source Emission Factors - Stationary Fuel Combustion</t>
  </si>
  <si>
    <t>Table 3: Purchased Electricity Emission Factors</t>
  </si>
  <si>
    <t>Table7: Fleet Fuel Consumption</t>
  </si>
  <si>
    <t>Emission Factor (kg/GJ)</t>
  </si>
  <si>
    <t>Unit</t>
  </si>
  <si>
    <t>Bio CO2</t>
  </si>
  <si>
    <t>CO2</t>
  </si>
  <si>
    <t>CH4</t>
  </si>
  <si>
    <t>N2O</t>
  </si>
  <si>
    <t>CO2e</t>
  </si>
  <si>
    <t>Public Utility</t>
  </si>
  <si>
    <t>tCO2e/GWh</t>
  </si>
  <si>
    <t>kgCO2e/GJ</t>
  </si>
  <si>
    <t>Transport Mode</t>
  </si>
  <si>
    <t>FuelUnit</t>
  </si>
  <si>
    <t>Combo</t>
  </si>
  <si>
    <t>Energy Density kWh/unit</t>
  </si>
  <si>
    <t>Density (kg/unit)</t>
  </si>
  <si>
    <t>Energy Density GJ/unit</t>
  </si>
  <si>
    <r>
      <t>kg/m</t>
    </r>
    <r>
      <rPr>
        <vertAlign val="superscript"/>
        <sz val="11"/>
        <color theme="1"/>
        <rFont val="Calibri"/>
        <family val="2"/>
        <scheme val="minor"/>
      </rPr>
      <t>3</t>
    </r>
  </si>
  <si>
    <t>BC Hydro</t>
  </si>
  <si>
    <t>kg/L</t>
  </si>
  <si>
    <r>
      <t>m</t>
    </r>
    <r>
      <rPr>
        <vertAlign val="superscript"/>
        <sz val="11"/>
        <color theme="1"/>
        <rFont val="Calibri"/>
        <family val="2"/>
        <scheme val="minor"/>
      </rPr>
      <t>3</t>
    </r>
  </si>
  <si>
    <t>Propane</t>
  </si>
  <si>
    <t>Kyuquot Power (BCH reseller)</t>
  </si>
  <si>
    <t>L</t>
  </si>
  <si>
    <t>Light Fuel Oil</t>
  </si>
  <si>
    <t>FortisBC</t>
  </si>
  <si>
    <t>Heavy Fuel Oil</t>
  </si>
  <si>
    <t>City of Grand Forks (FBC reseller)</t>
  </si>
  <si>
    <t>kg/kg</t>
  </si>
  <si>
    <t>Kerosene</t>
  </si>
  <si>
    <t>City of Kelowna (FBC reseller)</t>
  </si>
  <si>
    <t>Diesel Fuel</t>
  </si>
  <si>
    <t>Nelson Hydro</t>
  </si>
  <si>
    <t>Marine Diesel</t>
  </si>
  <si>
    <t>City of New Westminster (BCH reseller)</t>
  </si>
  <si>
    <t>City of Penticton (FBC reseller)</t>
  </si>
  <si>
    <t>City of Summerland (FBC reseller)</t>
  </si>
  <si>
    <t>kg</t>
  </si>
  <si>
    <t>Hemlock Valley (BCH reseller)</t>
  </si>
  <si>
    <t>Ethanol (E100)</t>
  </si>
  <si>
    <t>Alberta</t>
  </si>
  <si>
    <t>Biodiesel (B100)</t>
  </si>
  <si>
    <t>Ontario</t>
  </si>
  <si>
    <t>United Kingdom</t>
  </si>
  <si>
    <t>India</t>
  </si>
  <si>
    <t>Japan</t>
  </si>
  <si>
    <t>China</t>
  </si>
  <si>
    <t>Hong Kong</t>
  </si>
  <si>
    <t>Turbo Fuel</t>
  </si>
  <si>
    <t>Biodiesel</t>
  </si>
  <si>
    <t>Ethanol</t>
  </si>
  <si>
    <t>Industrial Studies</t>
  </si>
  <si>
    <t>Commercial Studies</t>
  </si>
  <si>
    <t>Site Type</t>
  </si>
  <si>
    <t>Sector Category</t>
  </si>
  <si>
    <t>IndEU</t>
  </si>
  <si>
    <t>CommEU</t>
  </si>
  <si>
    <t>LightEU</t>
  </si>
  <si>
    <t>Roles</t>
  </si>
  <si>
    <t>IndExpertise</t>
  </si>
  <si>
    <t>CommExpertise</t>
  </si>
  <si>
    <t>LightExpertise</t>
  </si>
  <si>
    <t>Documents</t>
  </si>
  <si>
    <t>Fuel Types</t>
  </si>
  <si>
    <t>Rate</t>
  </si>
  <si>
    <t>Transport</t>
  </si>
  <si>
    <t>TransportFuelType</t>
  </si>
  <si>
    <t>End Use Assessment</t>
  </si>
  <si>
    <t>Commercial Energy Study</t>
  </si>
  <si>
    <t>A</t>
  </si>
  <si>
    <t>Industrial</t>
  </si>
  <si>
    <t>Compressed Air</t>
  </si>
  <si>
    <t>Advanced Energy Office</t>
  </si>
  <si>
    <t>Custom Lighting</t>
  </si>
  <si>
    <t>Architect</t>
  </si>
  <si>
    <t>Control Systems</t>
  </si>
  <si>
    <t>Lighting, commercial</t>
  </si>
  <si>
    <t>Guideline: Energy Efficiency Feasibility Study</t>
  </si>
  <si>
    <t>Pumps</t>
  </si>
  <si>
    <t>Plant Wide Audit Level I</t>
  </si>
  <si>
    <t>Commercial IT "Study"</t>
  </si>
  <si>
    <t>b</t>
  </si>
  <si>
    <t>Commercial</t>
  </si>
  <si>
    <t>Domestic Hot Water</t>
  </si>
  <si>
    <t>Building Envelope</t>
  </si>
  <si>
    <t>Outdoor Lighting</t>
  </si>
  <si>
    <t>Cost Estimator</t>
  </si>
  <si>
    <t>Compressed Gas</t>
  </si>
  <si>
    <t>Domestic Water Systems</t>
  </si>
  <si>
    <t>Lighting, street</t>
  </si>
  <si>
    <t>Guideline: End Use Assessment</t>
  </si>
  <si>
    <t>Compressors</t>
  </si>
  <si>
    <t>Plant Wide Audit Level II</t>
  </si>
  <si>
    <t>Lighting with HVAC</t>
  </si>
  <si>
    <t>c</t>
  </si>
  <si>
    <t>Fans and Blowers</t>
  </si>
  <si>
    <t>Data Server Virtualization</t>
  </si>
  <si>
    <t>Lighting</t>
  </si>
  <si>
    <t>Graphic Arts / Drafting</t>
  </si>
  <si>
    <t>Electrical - I.T</t>
  </si>
  <si>
    <t>Transformers, distribution</t>
  </si>
  <si>
    <t>Guideline: Plant Wide Audit Level I</t>
  </si>
  <si>
    <t>Process</t>
  </si>
  <si>
    <t>Plant Wide Audit Level III</t>
  </si>
  <si>
    <t>Green Motors Initiatives</t>
  </si>
  <si>
    <t>Demo Project</t>
  </si>
  <si>
    <t>Project Manager / Coordinator</t>
  </si>
  <si>
    <t>Heating Systems</t>
  </si>
  <si>
    <t>Guideline: Plant Wide Audit Level II</t>
  </si>
  <si>
    <t>Energy Efficiency Feasibility Study</t>
  </si>
  <si>
    <t>HVAC</t>
  </si>
  <si>
    <t>Domestic  Hot Water</t>
  </si>
  <si>
    <t>Modeling Specialist</t>
  </si>
  <si>
    <t>Heat Recovery Systems</t>
  </si>
  <si>
    <t>Guideline: Plant Wide Audit Level III</t>
  </si>
  <si>
    <t>Generation</t>
  </si>
  <si>
    <t>New Plant Design Energy Study</t>
  </si>
  <si>
    <t>Load Displacement - Bio-Gas</t>
  </si>
  <si>
    <t>Food Preparation Retrofit</t>
  </si>
  <si>
    <t>Lead Consultant</t>
  </si>
  <si>
    <t>Guideline: Energy Study with Lighting</t>
  </si>
  <si>
    <t>Load Displacement - Biomass</t>
  </si>
  <si>
    <t>Green IT</t>
  </si>
  <si>
    <t>Civil Engineer</t>
  </si>
  <si>
    <t>Lighting, industrial</t>
  </si>
  <si>
    <t>Minimum Requirements for Energy Study</t>
  </si>
  <si>
    <t>Material Handling</t>
  </si>
  <si>
    <t>Ethanol (L)</t>
  </si>
  <si>
    <t>Load Displacement - Geothermal</t>
  </si>
  <si>
    <t>High Bay Lighting</t>
  </si>
  <si>
    <t>Civil Technologist</t>
  </si>
  <si>
    <t>Materials Handling</t>
  </si>
  <si>
    <t>Refrigeration / Food Prep Systems</t>
  </si>
  <si>
    <t>Transport-Light Duty Vehicle</t>
  </si>
  <si>
    <t>Load Displacement - Hydro</t>
  </si>
  <si>
    <t>Process Engineer</t>
  </si>
  <si>
    <t>Motors and Drives</t>
  </si>
  <si>
    <t>Ventilation / Auxiliaries Systems</t>
  </si>
  <si>
    <t>Transport-Light Duty Truck (SUV and Minivan)</t>
  </si>
  <si>
    <t>Load Displacement - Natural Gas</t>
  </si>
  <si>
    <t>HVAC Operations and Maintenance</t>
  </si>
  <si>
    <t>Technical Writer</t>
  </si>
  <si>
    <t>Power Generation Systems</t>
  </si>
  <si>
    <t>Cooling Systems</t>
  </si>
  <si>
    <t>Transport-Heavy-duty</t>
  </si>
  <si>
    <t>Load Displacement - Process Heat (no incremental fuel)</t>
  </si>
  <si>
    <t>Lead Mechanical Engineer</t>
  </si>
  <si>
    <t>Process Controls</t>
  </si>
  <si>
    <t>Transport-Motorcycle</t>
  </si>
  <si>
    <t>Load Displacement - Renewable Natural Gas</t>
  </si>
  <si>
    <t>Mechanical Engineer</t>
  </si>
  <si>
    <t>Process Cooling / Refrigeration</t>
  </si>
  <si>
    <t>Transport-Off-Road (Vehicle/Equipment)</t>
  </si>
  <si>
    <t>Load Displacement - Solar</t>
  </si>
  <si>
    <t>Mechanical Technologist</t>
  </si>
  <si>
    <t>Process Heating</t>
  </si>
  <si>
    <t>Transport-Marine</t>
  </si>
  <si>
    <t>Load Displacement - Waste Hydrogen Gas</t>
  </si>
  <si>
    <t>Refrigeration</t>
  </si>
  <si>
    <t>Certified Energy Manager</t>
  </si>
  <si>
    <t>Pulping System, mechanical</t>
  </si>
  <si>
    <t>Transport-Aviation</t>
  </si>
  <si>
    <t>Load Displacement - Wind</t>
  </si>
  <si>
    <t>Retrocommissioning</t>
  </si>
  <si>
    <t>Customer staff or agent</t>
  </si>
  <si>
    <t>Pumps, general purpose</t>
  </si>
  <si>
    <t>Transport-Various</t>
  </si>
  <si>
    <t>Workplace Conservation</t>
  </si>
  <si>
    <t>Electrical Engineer</t>
  </si>
  <si>
    <t>Pumps, hydraulic</t>
  </si>
  <si>
    <t>Electrical Technologist</t>
  </si>
  <si>
    <t>Pumps, slurry and waste</t>
  </si>
  <si>
    <t>Engineer-in-Training</t>
  </si>
  <si>
    <t>Pumps, vacuum</t>
  </si>
  <si>
    <t>Drawings and Documentation</t>
  </si>
  <si>
    <t>Project Coordination</t>
  </si>
  <si>
    <t>Technical Writing</t>
  </si>
  <si>
    <t>kWhe</t>
  </si>
  <si>
    <t>GJ</t>
  </si>
  <si>
    <t>Description</t>
  </si>
  <si>
    <t>Flat Rate $/unit</t>
  </si>
  <si>
    <t xml:space="preserve">Revision: </t>
  </si>
  <si>
    <t>Customer Details</t>
  </si>
  <si>
    <t xml:space="preserve">Site Name: </t>
  </si>
  <si>
    <t xml:space="preserve">Site Address: </t>
  </si>
  <si>
    <t xml:space="preserve">City: </t>
  </si>
  <si>
    <t>Project Details</t>
  </si>
  <si>
    <t xml:space="preserve">Project Title: </t>
  </si>
  <si>
    <t xml:space="preserve">Name (Individual): </t>
  </si>
  <si>
    <t xml:space="preserve">Legal Name of Firm: </t>
  </si>
  <si>
    <t xml:space="preserve">Phone: </t>
  </si>
  <si>
    <t xml:space="preserve">Email: </t>
  </si>
  <si>
    <t>(include equipment type, size, hours of operation, and other pertinent information)</t>
  </si>
  <si>
    <t>Corresponding Fossil Fuel Type</t>
  </si>
  <si>
    <t>Fill in the tables below showing the energy and fuel consumption for the various end uses identified</t>
  </si>
  <si>
    <t>E_Factor
kgCO2e/unit</t>
  </si>
  <si>
    <t>Baseline comments (i.e. assumptions, seasonal effects, data sources, etc.)</t>
  </si>
  <si>
    <t>$</t>
  </si>
  <si>
    <t>$ / year</t>
  </si>
  <si>
    <t>Identify and briefly describe any known or possible risks. Note potential mitigation efforts as well.</t>
  </si>
  <si>
    <t>Wood - Panel</t>
  </si>
  <si>
    <t>Wood - Other</t>
  </si>
  <si>
    <t>Wood - Lumber</t>
  </si>
  <si>
    <t>Warehouses - Small(&lt;=1GWh)</t>
  </si>
  <si>
    <t>Warehouses - Medium(1-2GWh)</t>
  </si>
  <si>
    <t>University/College - Small(&lt;=1.1GWh)</t>
  </si>
  <si>
    <t>University/College - Medium(1.1-2.2GWh)</t>
  </si>
  <si>
    <t>Unclassified</t>
  </si>
  <si>
    <t>Transportation</t>
  </si>
  <si>
    <t>Traffic Light</t>
  </si>
  <si>
    <t>Temp990</t>
  </si>
  <si>
    <t>Restaurant - Small(&lt;=0.3GWh)</t>
  </si>
  <si>
    <t>Restaurant - Medium(0.3-1.3GWh)</t>
  </si>
  <si>
    <t>Residential - Single/Duplex (Non-Elec Heat)</t>
  </si>
  <si>
    <t>Residential - Single/Duplex (Elec Heat)</t>
  </si>
  <si>
    <t>Residential - Row Houses Units (Non-Elec Heat)</t>
  </si>
  <si>
    <t>Residential - Row Houses Units (Elec Heat)</t>
  </si>
  <si>
    <t>Residential - Row Houses Common (Non-Elect Heat)</t>
  </si>
  <si>
    <t>Residential - Row Houses Common (Elect Heat)</t>
  </si>
  <si>
    <t>Residential - Row House Unconnected (Non-Elec Heat)</t>
  </si>
  <si>
    <t>Residential - Row House Unconnected (Elec Heat)</t>
  </si>
  <si>
    <t>Residential - Other (Non-Elec Heat)</t>
  </si>
  <si>
    <t>Residential - Other (Elec Heat)</t>
  </si>
  <si>
    <t>Residential - Mobile (Non-Elec Heat)</t>
  </si>
  <si>
    <t>Residential - Mobile (Elec Heat)</t>
  </si>
  <si>
    <t>Residential - Low-Rise Apt Unconnected (Non-Elect Heat)</t>
  </si>
  <si>
    <t>Residential - Low-Rise Apt Unconnected (Elect Heat)</t>
  </si>
  <si>
    <t>Residential - High-Rise Apt Suites (Non-Elec Heat)</t>
  </si>
  <si>
    <t>Residential - High-Rise Apt Suites (Elec Heat)</t>
  </si>
  <si>
    <t>Residential - High-Rise Apt Common (Non-Elec Heat)</t>
  </si>
  <si>
    <t>Residential - High-Rise Apt Common (Elec Heat)</t>
  </si>
  <si>
    <t>Residential - High_Rise Apt Unconnected (Elect Heat)</t>
  </si>
  <si>
    <t>Public Hospital - Large(&gt;5.2GWh)</t>
  </si>
  <si>
    <t>Overhead Street Lighting</t>
  </si>
  <si>
    <t>Other Commercial</t>
  </si>
  <si>
    <t>Ornamental Street Lighting</t>
  </si>
  <si>
    <t>Offices - Small(&lt;=0.9GWh)</t>
  </si>
  <si>
    <t>Offices - Medium(0.9-1.8GWh)</t>
  </si>
  <si>
    <t>Nursing Home - Small(&lt;=2.5GWh)</t>
  </si>
  <si>
    <t>Non-Food Retail - Small(&lt;=1.3GWh)</t>
  </si>
  <si>
    <t>Non-Food Retail - Medium(1.3-2.6GWh)</t>
  </si>
  <si>
    <t>Non-Buildings</t>
  </si>
  <si>
    <t>Municipal Pumping</t>
  </si>
  <si>
    <t>Metal Mining</t>
  </si>
  <si>
    <t>Light Manufacturing</t>
  </si>
  <si>
    <t>Irrigation</t>
  </si>
  <si>
    <t>Industrial - Other</t>
  </si>
  <si>
    <t>Hotels - Small(&lt;=1.25GWh)</t>
  </si>
  <si>
    <t>Electric Vehicle</t>
  </si>
  <si>
    <t>Heavy Manufacturing</t>
  </si>
  <si>
    <t>Battery - Electric Vehicle</t>
  </si>
  <si>
    <t>Health Services - Small(&lt;=2.6GWh)</t>
  </si>
  <si>
    <t>Electric Forklift / Conveyors</t>
  </si>
  <si>
    <t>Health Services - Large(&gt;5.2GWh)</t>
  </si>
  <si>
    <t>Greenhouse LEDs</t>
  </si>
  <si>
    <t>Food Retail - Small(&lt;=1.35GWh)</t>
  </si>
  <si>
    <t>Greenhouse Fans</t>
  </si>
  <si>
    <t>Food Retail - Medium(1.35-3.4GWh)</t>
  </si>
  <si>
    <t>Electric Boiler / Heat Pump</t>
  </si>
  <si>
    <t>Domestic HW</t>
  </si>
  <si>
    <t>Food &amp; Beverages</t>
  </si>
  <si>
    <t>Grid tie in versus on site generation</t>
  </si>
  <si>
    <t>Educational Services - Small(&lt;=0.2GWh)</t>
  </si>
  <si>
    <t>Heat Pump</t>
  </si>
  <si>
    <t>Coal Mining</t>
  </si>
  <si>
    <t>Chemical - Other</t>
  </si>
  <si>
    <t>Electric Compressors</t>
  </si>
  <si>
    <t>Agriculture - Residential</t>
  </si>
  <si>
    <t>Electric Pumps</t>
  </si>
  <si>
    <t>Agriculture - Commercial</t>
  </si>
  <si>
    <t>LCE Measures</t>
  </si>
  <si>
    <t xml:space="preserve">Area to be studied: </t>
  </si>
  <si>
    <t xml:space="preserve">Floorspace Area: </t>
  </si>
  <si>
    <t>Who is the contact with CEM Engineering?</t>
  </si>
  <si>
    <t xml:space="preserve">Engineer Name: </t>
  </si>
  <si>
    <t>Name</t>
  </si>
  <si>
    <t>1° Expertise</t>
  </si>
  <si>
    <t>Expense Type</t>
  </si>
  <si>
    <t>#</t>
  </si>
  <si>
    <t>Proposed LCE Measure</t>
  </si>
  <si>
    <t>Heat Recovery Chiller</t>
  </si>
  <si>
    <t>Air-to-Water Heat Pump</t>
  </si>
  <si>
    <t>Air-to-Water Heat Pump Water Heater</t>
  </si>
  <si>
    <t>Ground Source Heat Pump</t>
  </si>
  <si>
    <t>Air-to-Air Rooftop Heat Pump</t>
  </si>
  <si>
    <t>Water-to-Water Heat Pump</t>
  </si>
  <si>
    <t>Exhaust Air Heat Recovery Heat Pump</t>
  </si>
  <si>
    <t>Sewage Heat Recovery Heat Pump</t>
  </si>
  <si>
    <t>Electric Boiler</t>
  </si>
  <si>
    <t>Electric Water Heater</t>
  </si>
  <si>
    <t>High-efficiency (&gt;75%) HRV</t>
  </si>
  <si>
    <t>Commercial End Uses</t>
  </si>
  <si>
    <t>Industrial End Uses</t>
  </si>
  <si>
    <t>Industrial Measures</t>
  </si>
  <si>
    <t>Air fare</t>
  </si>
  <si>
    <t>Car rental</t>
  </si>
  <si>
    <t>Mileage</t>
  </si>
  <si>
    <t>All meals</t>
  </si>
  <si>
    <t>Breakfast</t>
  </si>
  <si>
    <t>Lunch</t>
  </si>
  <si>
    <t>Dinner</t>
  </si>
  <si>
    <t>Natural Gas (m^3)</t>
  </si>
  <si>
    <t>m3</t>
  </si>
  <si>
    <t>Natural Gas (GJ)</t>
  </si>
  <si>
    <t>$/exp</t>
  </si>
  <si>
    <t>Total</t>
  </si>
  <si>
    <t>Transport Measures</t>
  </si>
  <si>
    <t>MGS</t>
  </si>
  <si>
    <t>SGS</t>
  </si>
  <si>
    <t>LGS</t>
  </si>
  <si>
    <t>TSR</t>
  </si>
  <si>
    <t>$/KWh</t>
  </si>
  <si>
    <t>$/kW</t>
  </si>
  <si>
    <t>R$/kW</t>
  </si>
  <si>
    <t>Carbon Tax Credits (Over Project Life @ $X/tonne)</t>
  </si>
  <si>
    <t>kWh/y</t>
  </si>
  <si>
    <t>Has BC Hydro CEM Engineering and Alliance been consulted in the preparation of this proposal?</t>
  </si>
  <si>
    <t>Are you aware of any prior energy studies that relate to the system under consideration?</t>
  </si>
  <si>
    <t>Company</t>
  </si>
  <si>
    <t xml:space="preserve">Title: </t>
  </si>
  <si>
    <t>End Use</t>
  </si>
  <si>
    <t>Is the Engineer of Record registered with BC Hydro Alliance?</t>
  </si>
  <si>
    <t>Annual peak demand</t>
  </si>
  <si>
    <t>What are the low-carbon electrification opportunities under consideration? (Describe the electrification measure and interconnection considerations)</t>
  </si>
  <si>
    <t>Note: "Incremental" is the difference between baseline and the LCE measure</t>
  </si>
  <si>
    <t>If available provide a coarse estimate of the following relative to baseline</t>
  </si>
  <si>
    <t>Study Role</t>
  </si>
  <si>
    <t>Quantity per Year</t>
  </si>
  <si>
    <t>Description of the system to be studied and known issues:</t>
  </si>
  <si>
    <t>(include equipment type, size, hours of operation, and describe any known problem areas)</t>
  </si>
  <si>
    <t>Describe a possible study start date and end date of the proposed study.</t>
  </si>
  <si>
    <t>Accommodation</t>
  </si>
  <si>
    <t>for</t>
  </si>
  <si>
    <t>of</t>
  </si>
  <si>
    <t>ppl, at</t>
  </si>
  <si>
    <t>ppl, for</t>
  </si>
  <si>
    <t>$ per person</t>
  </si>
  <si>
    <t>$ per day</t>
  </si>
  <si>
    <t>days, at</t>
  </si>
  <si>
    <t>Rental</t>
  </si>
  <si>
    <t>Exp1</t>
  </si>
  <si>
    <t>Exp2</t>
  </si>
  <si>
    <t>Exp3</t>
  </si>
  <si>
    <t>Exp4</t>
  </si>
  <si>
    <t xml:space="preserve"> </t>
  </si>
  <si>
    <t>The low-carbon electrification proposal will be reviewed by BCH Conservation &amp; Energy Management Engineering which will look for reasonable assumptions, appropriate methodology and results that are consistent with sound judgement and similar project experience.  The customer/consultant will be  given every opportunity to revise as needed. The proposal materials submitted will not be analyzed in sufficient detail to verify all calculations as the customer/consultant retains all responsibility for information provided.</t>
  </si>
  <si>
    <t>$ / day</t>
  </si>
  <si>
    <t>Additional criterium</t>
  </si>
  <si>
    <t xml:space="preserve">Electricity Subtotals: </t>
  </si>
  <si>
    <t>days</t>
  </si>
  <si>
    <t>Electric Gas Compression</t>
  </si>
  <si>
    <t>Greenhouse Lighting</t>
  </si>
  <si>
    <t>Conveyor</t>
  </si>
  <si>
    <t>Electric Forklift</t>
  </si>
  <si>
    <t>Electric Vehicle - Light Duty</t>
  </si>
  <si>
    <t>Electric Vehicle - Med Duty</t>
  </si>
  <si>
    <t>Electric Vehicle - Heavy Duty</t>
  </si>
  <si>
    <t>Electric Vehicle - Marine</t>
  </si>
  <si>
    <t>Expected reduction in annual GHG emissions?</t>
  </si>
  <si>
    <t>Expected increase in electricity consumption?</t>
  </si>
  <si>
    <t>Expected increase in annual peak demand?</t>
  </si>
  <si>
    <t>Expected increase in average monthly peak demand?</t>
  </si>
  <si>
    <t>Incremental (increase or decrease) annual O&amp;M costs?</t>
  </si>
  <si>
    <t>Will you receive any additional GHG offsets or GHG credits related to this project?</t>
  </si>
  <si>
    <t>Describe a possible start date and estimated implementation date of the project</t>
  </si>
  <si>
    <t>Role$</t>
  </si>
  <si>
    <t>The purpose of this proposal is to provide an overview of the proposed low-carbon electrification study.  The responsible consulting firm should include information and supporting documentation required for the proposal.  The proposal is expected to adopt an approach that is logical, transparent and rely on documented assumptions and conclusions.</t>
  </si>
  <si>
    <t>ekWh_input / year</t>
  </si>
  <si>
    <t>Estimate the following relative to baseline</t>
  </si>
  <si>
    <t>km</t>
  </si>
  <si>
    <t>Identify any potential 3rd party funding for this project</t>
  </si>
  <si>
    <t>unit, for</t>
  </si>
  <si>
    <t xml:space="preserve">If applicable, enter BC Hydro KAM Name (or BC Hydro Representative): </t>
  </si>
  <si>
    <t xml:space="preserve">Building Age : </t>
  </si>
  <si>
    <t xml:space="preserve">Building Use or type : </t>
  </si>
  <si>
    <t xml:space="preserve">Operating Hours per day : </t>
  </si>
  <si>
    <t xml:space="preserve">Main Switch Size : </t>
  </si>
  <si>
    <t xml:space="preserve">Total Connected Load (if known) : </t>
  </si>
  <si>
    <t xml:space="preserve">Voltage : </t>
  </si>
  <si>
    <t>The system boundary defines the subject of the opportunity and the scope under consideration for this LCE project.  Identify the portion of the site and/or the boundary containing the systems.  If possible attach a diagram with the submission to illustrate the boundary of the scope, analysis, and significant interactions with adjacent systems and equipment:</t>
  </si>
  <si>
    <t>End Uses</t>
  </si>
  <si>
    <t>Baseline Technology</t>
  </si>
  <si>
    <t xml:space="preserve">Incremental (increase or decrease) energy costs? </t>
  </si>
  <si>
    <t>years</t>
  </si>
  <si>
    <t>Amps</t>
  </si>
  <si>
    <t>Volts</t>
  </si>
  <si>
    <t xml:space="preserve">Phase : </t>
  </si>
  <si>
    <t xml:space="preserve">Operational days per week : </t>
  </si>
  <si>
    <t>Main Switch Capacity</t>
  </si>
  <si>
    <t>Baseline Central Plant</t>
  </si>
  <si>
    <t>Baseline Terminal System</t>
  </si>
  <si>
    <t>Persistence</t>
  </si>
  <si>
    <t>Gas Boiler</t>
  </si>
  <si>
    <t>Air-to-Water Heat Pump (central plant)</t>
  </si>
  <si>
    <t>Gas Rooftop Unit</t>
  </si>
  <si>
    <t>Air-to-Air Heat Pump (ductless or mini-split)</t>
  </si>
  <si>
    <t>Gas Water Heater</t>
  </si>
  <si>
    <t>Air-to-Water Rooftop Heat Pump</t>
  </si>
  <si>
    <t>Electric Baseboard Heating</t>
  </si>
  <si>
    <t>Hydronic Baseboard Heating</t>
  </si>
  <si>
    <t>VAV</t>
  </si>
  <si>
    <t>Fan Coils</t>
  </si>
  <si>
    <t>Air Source VRF Distributed Heat Pumps</t>
  </si>
  <si>
    <t>Terminal Air Conditioning</t>
  </si>
  <si>
    <t>Radiant Heating</t>
  </si>
  <si>
    <t>Baseline Termial system</t>
  </si>
  <si>
    <t>HVAC Persistence</t>
  </si>
  <si>
    <t>DHW Persistence</t>
  </si>
  <si>
    <t>DHW</t>
  </si>
  <si>
    <t>Wood Fuel - Ind (50% moisture)</t>
  </si>
  <si>
    <t>Wood Fuel - Res (0% moisture)</t>
  </si>
  <si>
    <t>Note: fees for travel time may not be applicable in all cases</t>
  </si>
  <si>
    <t>Do not include PST or GST for fees for professional services and travel time.</t>
  </si>
  <si>
    <t>Office</t>
  </si>
  <si>
    <t>Travel</t>
  </si>
  <si>
    <t>On-Site</t>
  </si>
  <si>
    <t>Hours</t>
  </si>
  <si>
    <t xml:space="preserve">Subtotal for Fees: </t>
  </si>
  <si>
    <t xml:space="preserve">Subtotal for Expenses: </t>
  </si>
  <si>
    <t xml:space="preserve">Total Fees and Expenses: </t>
  </si>
  <si>
    <t>LCE Measure</t>
  </si>
  <si>
    <t xml:space="preserve">Identify low-carbon electrification opportunities (LCE measures) and how you plan to evaluate the cost and benefit of each? </t>
  </si>
  <si>
    <t>If known, are there any future additional proposed loads excluding the LCE Measure?</t>
  </si>
  <si>
    <t>Describe the existing system under consideration</t>
  </si>
  <si>
    <t xml:space="preserve">System Age: </t>
  </si>
  <si>
    <t>Are there any energy efficiency measures or interactions that will be associated with this LCE project?  If so, describe:</t>
  </si>
  <si>
    <t>Rate
($ / unit)</t>
  </si>
  <si>
    <t xml:space="preserve">Fuel Subtotals : </t>
  </si>
  <si>
    <t>Estimated % change</t>
  </si>
  <si>
    <t>Value</t>
  </si>
  <si>
    <t>Total future connected load (including existing, future proposed and LCE)</t>
  </si>
  <si>
    <t>District Energy System</t>
  </si>
  <si>
    <t>Water Source VRF System</t>
  </si>
  <si>
    <t xml:space="preserve"> Identify other non-energy benefits or detriments ie. Water conservation, reliability, serviceability, etc. </t>
  </si>
  <si>
    <t>Engineer of Record is a registered member (P.Eng), licensee of, or eligible for membership with EGBC?</t>
  </si>
  <si>
    <t>Operation and Maintenance Cost (not including fuel/energy costs)</t>
  </si>
  <si>
    <t>BCH Project No.</t>
  </si>
  <si>
    <t>Date</t>
  </si>
  <si>
    <t>Site Name</t>
  </si>
  <si>
    <t>City</t>
  </si>
  <si>
    <t>Phone</t>
  </si>
  <si>
    <t>Email</t>
  </si>
  <si>
    <t>Prepared by</t>
  </si>
  <si>
    <t>PROPOSED LCE Measures</t>
  </si>
  <si>
    <t>EM-1</t>
  </si>
  <si>
    <t>EM-2</t>
  </si>
  <si>
    <t>EM-3</t>
  </si>
  <si>
    <t>EM-4</t>
  </si>
  <si>
    <t>EM-5</t>
  </si>
  <si>
    <t>Total Electric Energy Use</t>
  </si>
  <si>
    <t>Electricity Average Monthly Peak Demand</t>
  </si>
  <si>
    <t>Electricity Rate</t>
  </si>
  <si>
    <t>Electricity Cost per Year</t>
  </si>
  <si>
    <t>E_Factor</t>
  </si>
  <si>
    <t>GHG emissions</t>
  </si>
  <si>
    <t>tonneCO2e</t>
  </si>
  <si>
    <t xml:space="preserve">Fuel Rate </t>
  </si>
  <si>
    <t>Fuel Cost per Year</t>
  </si>
  <si>
    <t xml:space="preserve">Net Incremental Electrical Energy </t>
  </si>
  <si>
    <t>Net Incremental Fuel Consumption</t>
  </si>
  <si>
    <t>Net Incremental GHG Emissions</t>
  </si>
  <si>
    <t>Net Incremental Capital Cost</t>
  </si>
  <si>
    <t xml:space="preserve">Net Incremental O&amp;M Cost </t>
  </si>
  <si>
    <t xml:space="preserve">Estimated Project Life </t>
  </si>
  <si>
    <t>Years</t>
  </si>
  <si>
    <t>Notes</t>
  </si>
  <si>
    <t>Project Name and Location</t>
  </si>
  <si>
    <t>Project Owner</t>
  </si>
  <si>
    <t>BC Hydro Ref #</t>
  </si>
  <si>
    <t>kWh / year</t>
  </si>
  <si>
    <t>per year</t>
  </si>
  <si>
    <t>BUNDLE</t>
  </si>
  <si>
    <t>Comment #</t>
  </si>
  <si>
    <t>Cell Reference</t>
  </si>
  <si>
    <t>Item #</t>
  </si>
  <si>
    <t>New Field / Existing</t>
  </si>
  <si>
    <t>New Field Name (FUJ requirements)</t>
  </si>
  <si>
    <t>RP Comments / FUJ requirements</t>
  </si>
  <si>
    <t>Wording (if applicable)</t>
  </si>
  <si>
    <t>xRM Input Fields Required for each LCE Measure (Initiative Detail)</t>
  </si>
  <si>
    <t>Field</t>
  </si>
  <si>
    <t>Responsible</t>
  </si>
  <si>
    <t>Existing</t>
  </si>
  <si>
    <t>Existing System functionality - no change</t>
  </si>
  <si>
    <t>CEME</t>
  </si>
  <si>
    <t>See Drop Down List</t>
  </si>
  <si>
    <t>xRM Input Fields Required for each LCE Measure (Energy Saving Record)</t>
  </si>
  <si>
    <t>LCE Measure (LCEM)</t>
  </si>
  <si>
    <r>
      <t xml:space="preserve">See Drop Down List - List displayed will show only LCE measures if that offering is selected </t>
    </r>
    <r>
      <rPr>
        <b/>
        <i/>
        <sz val="11"/>
        <color theme="1"/>
        <rFont val="Calibri"/>
        <family val="2"/>
        <scheme val="minor"/>
      </rPr>
      <t>(RP - the fields will be incorporated into existing fields and no link to offering)</t>
    </r>
  </si>
  <si>
    <t>Auto-populate based on LCE Measure selected</t>
  </si>
  <si>
    <t>New</t>
  </si>
  <si>
    <t>Fuel Type Displaced, type = lookup from fuel type workbook tab</t>
  </si>
  <si>
    <t>Energy Saving Record Tool form, Energy Saving Record entry form, Create a new LCE section above the existing 'notes' field</t>
  </si>
  <si>
    <t>Fuel Type Displaced</t>
  </si>
  <si>
    <t>See Drop Down List - Add the units to the fuel type list</t>
  </si>
  <si>
    <t>Fuel Qty Displaced, type = number</t>
  </si>
  <si>
    <t>Fuel Qty Displaced</t>
  </si>
  <si>
    <r>
      <t xml:space="preserve">Reviewed Total LCEM Cost ($) </t>
    </r>
    <r>
      <rPr>
        <b/>
        <sz val="11"/>
        <color theme="1"/>
        <rFont val="Calibri"/>
        <family val="2"/>
        <scheme val="minor"/>
      </rPr>
      <t>(existing field Reviewed Total Project Cost ($)</t>
    </r>
    <r>
      <rPr>
        <sz val="10"/>
        <color theme="1"/>
        <rFont val="Arial"/>
        <family val="2"/>
      </rPr>
      <t>)</t>
    </r>
  </si>
  <si>
    <t>Excluding Interconnection Costs</t>
  </si>
  <si>
    <r>
      <t xml:space="preserve">Reviewed Project LCEM Cost ($) </t>
    </r>
    <r>
      <rPr>
        <b/>
        <sz val="11"/>
        <color theme="1"/>
        <rFont val="Calibri"/>
        <family val="2"/>
        <scheme val="minor"/>
      </rPr>
      <t>(existing field Reviewed Project Cost ($)</t>
    </r>
    <r>
      <rPr>
        <sz val="10"/>
        <color theme="1"/>
        <rFont val="Arial"/>
        <family val="2"/>
      </rPr>
      <t>)</t>
    </r>
  </si>
  <si>
    <r>
      <t xml:space="preserve">Reviewed Incremental LCEM Cost ($) </t>
    </r>
    <r>
      <rPr>
        <b/>
        <sz val="11"/>
        <color theme="1"/>
        <rFont val="Calibri"/>
        <family val="2"/>
        <scheme val="minor"/>
      </rPr>
      <t>(existing field Reviewed Incremental Project Cost ($)</t>
    </r>
    <r>
      <rPr>
        <sz val="10"/>
        <color theme="1"/>
        <rFont val="Arial"/>
        <family val="2"/>
      </rPr>
      <t>)</t>
    </r>
  </si>
  <si>
    <t>Reviewed Incremental O&amp;M Cost/Savings ($)</t>
  </si>
  <si>
    <t>Other NEI's ($)</t>
  </si>
  <si>
    <r>
      <t xml:space="preserve">Reviewed Energy Consumption  Increase (kWh/y) </t>
    </r>
    <r>
      <rPr>
        <b/>
        <sz val="11"/>
        <color theme="1"/>
        <rFont val="Calibri"/>
        <family val="2"/>
        <scheme val="minor"/>
      </rPr>
      <t>(existing field Reviewed Incremental Energy Consumption)</t>
    </r>
  </si>
  <si>
    <r>
      <t xml:space="preserve">Reviewed Peak Demand Increase (kW) </t>
    </r>
    <r>
      <rPr>
        <b/>
        <sz val="11"/>
        <color theme="1"/>
        <rFont val="Calibri"/>
        <family val="2"/>
        <scheme val="minor"/>
      </rPr>
      <t>(existing field Reviewed Incremental Peak Demand)</t>
    </r>
  </si>
  <si>
    <t>Reviewed Incremental Average Annual Peak Demand (kW), type = number</t>
  </si>
  <si>
    <t>Reviewed Average Annual Peak Demand Increase (kW)</t>
  </si>
  <si>
    <t>Average of the monthly Peak Demand - Used for Incentive Calculator</t>
  </si>
  <si>
    <t>BCH Incremental System Peak (kW), type = number</t>
  </si>
  <si>
    <t>BCH System Peak Increase (kW)</t>
  </si>
  <si>
    <t>Reviewed Incremental GHG Reduction (Tonne CO2e/yr), type = number</t>
  </si>
  <si>
    <t>Reviewed Incremental GHG Reduction (Tonne CO2e/yr)</t>
  </si>
  <si>
    <r>
      <t>Tonne CO</t>
    </r>
    <r>
      <rPr>
        <vertAlign val="subscript"/>
        <sz val="11"/>
        <color theme="1"/>
        <rFont val="Calibri"/>
        <family val="2"/>
        <scheme val="minor"/>
      </rPr>
      <t>2</t>
    </r>
    <r>
      <rPr>
        <sz val="10"/>
        <color theme="1"/>
        <rFont val="Arial"/>
        <family val="2"/>
      </rPr>
      <t>e/yr</t>
    </r>
  </si>
  <si>
    <t>xRM Input Fields Required at Project Level (Initiative)</t>
  </si>
  <si>
    <t>Bundle</t>
  </si>
  <si>
    <t>Existing System functionality - no change, enter manually as per current process</t>
  </si>
  <si>
    <t>Reviewed Total Project Cost ($)</t>
  </si>
  <si>
    <r>
      <t xml:space="preserve">Auto-populate - sum total for all LCE measures </t>
    </r>
    <r>
      <rPr>
        <b/>
        <i/>
        <sz val="11"/>
        <color theme="1"/>
        <rFont val="Calibri"/>
        <family val="2"/>
        <scheme val="minor"/>
      </rPr>
      <t>(RP - no rollup)</t>
    </r>
  </si>
  <si>
    <t>Reviewed Incremental Project Cost ($)</t>
  </si>
  <si>
    <t>Reviewed Customer Interconnection Cost, type = $ amount</t>
  </si>
  <si>
    <t>Incentive Details section tab, customer costs section break, location under existing field 'actual total project cost'</t>
  </si>
  <si>
    <t>Reviewed Customer Interconnection Cost ($)</t>
  </si>
  <si>
    <t>Excluding Interconnection Study Fees (If available @ IR)</t>
  </si>
  <si>
    <t>KAM/Marketing?</t>
  </si>
  <si>
    <t>BCH System Upgrade Capital Cost, type = $ amount</t>
  </si>
  <si>
    <t>Incentive Details section tab, customer costs section break, location under new field 'reviewed customer interconnection cost'</t>
  </si>
  <si>
    <t>BCH System Upgrade Capital Cost ($)</t>
  </si>
  <si>
    <t>Capital Costs to reinforce the BC Hydro System (If available @ IR)</t>
  </si>
  <si>
    <t>Reviewed Project Incremental O&amp;M Cost/Savings, type = $ amount</t>
  </si>
  <si>
    <t>Incentive Details section tab, customer costs section break, location beside new field 'reviewed customer interconnection cost'</t>
  </si>
  <si>
    <t>Reviewed Project Incremental O&amp;M Cost/Savings ($)</t>
  </si>
  <si>
    <t>not required</t>
  </si>
  <si>
    <t>Include in custom report for Engineering</t>
  </si>
  <si>
    <t>Reviewed Project Energy Consumption Increase (kWh/y)</t>
  </si>
  <si>
    <t>RP - totals at project will be accomplished in reporting</t>
  </si>
  <si>
    <t>Reviwed Project Peak Demand Increase (kW)</t>
  </si>
  <si>
    <t>Reviewed Project Average Annual Peak Demand Increase (kW)</t>
  </si>
  <si>
    <t>Project BCH System Peak Increase (kW)</t>
  </si>
  <si>
    <t>Reviewed Project Incremental GHG Reduction (Tonne CO2e/yr)</t>
  </si>
  <si>
    <t>BCH Incentive Funding Requested, type = $ amount</t>
  </si>
  <si>
    <t>KAM section tab, location under existing field 'initial incentive calculated'</t>
  </si>
  <si>
    <t>BCH Incentive Funding Request (KAM Entry)</t>
  </si>
  <si>
    <t>Customer requested BCH incentive amount</t>
  </si>
  <si>
    <t>KAM?</t>
  </si>
  <si>
    <t>Additional Grants Received ($)</t>
  </si>
  <si>
    <t>Other gov. subsidies, NRCAN, etc.</t>
  </si>
  <si>
    <t>Carbon Tax Credits ($/Tonne), type = $ amount</t>
  </si>
  <si>
    <t>KAM section tab, location under new field 'bch incentive funding requested'</t>
  </si>
  <si>
    <t>Carbon Tax Credits ($/Tonne)</t>
  </si>
  <si>
    <t>$/Tonne</t>
  </si>
  <si>
    <t>Average $/Tonne value that has been assigned for Carbon Tax Credits (ie.  $38/tonne or agreed upon rate)</t>
  </si>
  <si>
    <t>Incremental BCH O&amp;M Costs, type = $ amount</t>
  </si>
  <si>
    <t>Incentive Details section tab, project cost detail section break, under existing field 'proposed incremental project cost'</t>
  </si>
  <si>
    <t>Incremental BCH O&amp;M Costs ($)</t>
  </si>
  <si>
    <t>Any incremental cost for maintenance due to system upgrades and or interconnection, etc. (From Interconnection Study?)</t>
  </si>
  <si>
    <t>Total BCH Bridging Costs, type = $ amount</t>
  </si>
  <si>
    <t>Total BCH Bridging Costs ($)</t>
  </si>
  <si>
    <t>Total costs for temporary generation assets etc.</t>
  </si>
  <si>
    <t>xRM Input Fields Required at Application Level (Application)</t>
  </si>
  <si>
    <t>Related Incentive, type = lookup field</t>
  </si>
  <si>
    <t>KAM section tab, location under existing field 'related energy study', lookup field to all existing projects of type incentive</t>
  </si>
  <si>
    <t>Related Incentive Project #</t>
  </si>
  <si>
    <t>File #</t>
  </si>
  <si>
    <t>Kam to link any known related incentive or other file that may be overlap the LCE application</t>
  </si>
  <si>
    <t>BC Hydro LCE Potential Project Financial Analysis</t>
  </si>
  <si>
    <t>Financial Model Inputs</t>
  </si>
  <si>
    <t>Elec Rate</t>
  </si>
  <si>
    <t>Elect Growth kWh</t>
  </si>
  <si>
    <t>Elec demand growth kW</t>
  </si>
  <si>
    <t>Carbon tax</t>
  </si>
  <si>
    <t>Carbon offset credit</t>
  </si>
  <si>
    <t>Baseline cap cost</t>
  </si>
  <si>
    <t>Baseline O&amp;M cost</t>
  </si>
  <si>
    <t>Proposed Cap Cost</t>
  </si>
  <si>
    <t>Proposed O&amp;M cost</t>
  </si>
  <si>
    <t>3rd Party Funding (one time)</t>
  </si>
  <si>
    <t>Other Benefit (one time)</t>
  </si>
  <si>
    <t>EM Included in Incentive Application?</t>
  </si>
  <si>
    <t>Conditioned Floor Area</t>
  </si>
  <si>
    <t>Net Incremental Annual Cost</t>
  </si>
  <si>
    <t>Estimated Project Life (years)</t>
  </si>
  <si>
    <t>Location</t>
  </si>
  <si>
    <t>Company Name</t>
  </si>
  <si>
    <t>Incentive Applicant</t>
  </si>
  <si>
    <t>BC Hydro Sponsored Energy Manager</t>
  </si>
  <si>
    <t>Revision #</t>
  </si>
  <si>
    <t xml:space="preserve">
Units
v
v
v</t>
  </si>
  <si>
    <t>Net Incremental Energy Cost (Electric + Fuel)</t>
  </si>
  <si>
    <t>Proposed</t>
  </si>
  <si>
    <t>Capital Cost Sub Total</t>
  </si>
  <si>
    <t>Bundle Capital Cost Sub Total</t>
  </si>
  <si>
    <t xml:space="preserve">
LCE Bundle Baseline
v
v
v</t>
  </si>
  <si>
    <t>HVAC (electric) excluding energy saving effect if applicable</t>
  </si>
  <si>
    <t>HVAC (Fuel)</t>
  </si>
  <si>
    <t>DHW (electric) excluding energy saving effect if applicable</t>
  </si>
  <si>
    <t>DHW (Fuel)</t>
  </si>
  <si>
    <t xml:space="preserve">
Proposed LCE Bundle
v
v
v</t>
  </si>
  <si>
    <t>Date Prepared</t>
  </si>
  <si>
    <t>Annual O&amp;M Cost</t>
  </si>
  <si>
    <t>Commissioning and Training</t>
  </si>
  <si>
    <t>Capital cost</t>
  </si>
  <si>
    <t>Additional Benefits for Proposed LCE Measures</t>
  </si>
  <si>
    <t>Project Summary for Proposed LCE Measures</t>
  </si>
  <si>
    <t>Project Costs Summary  for Proposed LCE Measures (Not Incl. Incentive)</t>
  </si>
  <si>
    <t>Net Incremental GHG Emissions Over Project Life</t>
  </si>
  <si>
    <t>Annual non-energy benefits or detriments (Water conservation, etc.)</t>
  </si>
  <si>
    <t>Water conservation, etc.</t>
  </si>
  <si>
    <t>Building Type</t>
  </si>
  <si>
    <t>Study Consultant</t>
  </si>
  <si>
    <t>BC Hydro Key Account Manager</t>
  </si>
  <si>
    <t>GJ / year</t>
  </si>
  <si>
    <t>tonneCO2e/year</t>
  </si>
  <si>
    <t>Fuel Rate</t>
  </si>
  <si>
    <t>Fuel reduction GJ</t>
  </si>
  <si>
    <t>Fuel GHG reduction (tonns)</t>
  </si>
  <si>
    <t>EML (Years)</t>
  </si>
  <si>
    <t>Net Incremental Electrical Annual Peak Demand</t>
  </si>
  <si>
    <t>kW / month</t>
  </si>
  <si>
    <t>tonneCO2e / year</t>
  </si>
  <si>
    <t>$ / GJ</t>
  </si>
  <si>
    <t>Equipment (End of life replacement cost if applicable for both HVAC and DHW)</t>
  </si>
  <si>
    <t>Positive values indicate cost increase, negative values indicate cost decrease</t>
  </si>
  <si>
    <t>Positive values indicate emission increase, negative values indicate emission decrease</t>
  </si>
  <si>
    <r>
      <t xml:space="preserve">If desired, use this section to enter additional information about participants and this submission. For example, enter any existing customer project numbers, and/or information about deliverables, proposed schedules, assumptions, clarifications, exclusions, etc.   List any attached files, including supporting documents. Please save the final version of this proposal in PDF format. 
</t>
    </r>
    <r>
      <rPr>
        <b/>
        <sz val="10"/>
        <color theme="1"/>
        <rFont val="Arial"/>
        <family val="2"/>
      </rPr>
      <t>Press Alt + Enter to enter a new lines.</t>
    </r>
  </si>
  <si>
    <t>Customer and project</t>
  </si>
  <si>
    <t>Existing system baseline description</t>
  </si>
  <si>
    <t>Building and electrical connection description</t>
  </si>
  <si>
    <t>Electricity consumption and GHG emissions for project's site / facility</t>
  </si>
  <si>
    <t xml:space="preserve">Baseline annual cost ($) : </t>
  </si>
  <si>
    <t xml:space="preserve">Baseline annual GHG emissions (tonne CO2e  / year) : </t>
  </si>
  <si>
    <t xml:space="preserve">Baseline equivalent energy consumption (ekWh / year) : </t>
  </si>
  <si>
    <t>Project Description</t>
  </si>
  <si>
    <t>System boundary</t>
  </si>
  <si>
    <t>Heating end uses</t>
  </si>
  <si>
    <t>LCE opportunity identification</t>
  </si>
  <si>
    <r>
      <t xml:space="preserve">Incremental capital costs or savings.  </t>
    </r>
    <r>
      <rPr>
        <b/>
        <i/>
        <sz val="10"/>
        <color theme="1"/>
        <rFont val="Arial"/>
        <family val="2"/>
      </rPr>
      <t>Include materials and labour, commissioning, etc</t>
    </r>
  </si>
  <si>
    <t>Project schedule, risk, and accuracy</t>
  </si>
  <si>
    <r>
      <t xml:space="preserve">Comment on confidence and accuracy of pre-screen information provided  </t>
    </r>
    <r>
      <rPr>
        <b/>
        <i/>
        <sz val="10"/>
        <rFont val="Arial"/>
        <family val="2"/>
      </rPr>
      <t>i.e. costs, GHG emission, fuel consumption, efficiency etc.</t>
    </r>
  </si>
  <si>
    <t>Additional information</t>
  </si>
  <si>
    <t>Conservation and energy management review</t>
  </si>
  <si>
    <t>Proposal details</t>
  </si>
  <si>
    <t>Proposal content</t>
  </si>
  <si>
    <t>System description</t>
  </si>
  <si>
    <t>Baseline determination</t>
  </si>
  <si>
    <t>Opportunity identification and evaluation</t>
  </si>
  <si>
    <t>Proposal team and cost</t>
  </si>
  <si>
    <t>Fees for professional services</t>
  </si>
  <si>
    <t>Annual fuel reduction
(GJ / year)</t>
  </si>
  <si>
    <t>GHG reduction
(tonneCO2e / year)</t>
  </si>
  <si>
    <t>Total annual cost difference
 ( $ / year )</t>
  </si>
  <si>
    <t>Net incremental capital cost
( $ )</t>
  </si>
  <si>
    <t>Expected measure life</t>
  </si>
  <si>
    <t>Simple payback
(years)</t>
  </si>
  <si>
    <t>Electrification measures included in proposed bundle</t>
  </si>
  <si>
    <t>Electrification measure</t>
  </si>
  <si>
    <r>
      <t xml:space="preserve">EM Number                                         </t>
    </r>
    <r>
      <rPr>
        <sz val="10"/>
        <rFont val="Arial"/>
        <family val="2"/>
      </rPr>
      <t xml:space="preserve">  &gt;&gt;&gt;&gt;&gt;&gt;&gt;&gt;&gt;&gt;&gt;&gt;&gt;&gt;&gt;&gt;&gt;&gt;&gt;</t>
    </r>
  </si>
  <si>
    <r>
      <t xml:space="preserve">EM Name                                              </t>
    </r>
    <r>
      <rPr>
        <sz val="10"/>
        <rFont val="Arial"/>
        <family val="2"/>
      </rPr>
      <t>&gt;&gt;&gt;&gt;&gt;&gt;&gt;&gt;&gt;&gt;&gt;&gt;&gt;&gt;&gt;&gt;&gt;&gt;&gt;</t>
    </r>
  </si>
  <si>
    <r>
      <t xml:space="preserve">Standard BC Hydro EM Type          </t>
    </r>
    <r>
      <rPr>
        <sz val="10"/>
        <rFont val="Arial"/>
        <family val="2"/>
      </rPr>
      <t xml:space="preserve"> &gt;&gt;&gt;&gt;&gt;&gt;&gt;&gt;&gt;&gt;&gt;&gt;&gt;&gt;&gt;&gt;&gt;&gt;&gt;</t>
    </r>
  </si>
  <si>
    <r>
      <t xml:space="preserve">EM Included in Incentive Application (Yes or No)     </t>
    </r>
    <r>
      <rPr>
        <sz val="10"/>
        <rFont val="Arial"/>
        <family val="2"/>
      </rPr>
      <t>&gt;&gt;&gt;&gt;&gt;&gt;</t>
    </r>
  </si>
  <si>
    <r>
      <t xml:space="preserve">Estimated Measure Life of EM      </t>
    </r>
    <r>
      <rPr>
        <sz val="10"/>
        <rFont val="Arial"/>
        <family val="2"/>
      </rPr>
      <t>&gt;&gt;&gt;&gt;&gt;&gt;&gt;&gt;&gt;&gt;&gt;&gt;&gt;&gt;&gt;&gt;&gt;&gt;&gt;</t>
    </r>
  </si>
  <si>
    <t>Mechanical end uses consumption for project's site / facility</t>
  </si>
  <si>
    <t>Study Schedule</t>
  </si>
  <si>
    <t>Estimate of expenses</t>
  </si>
  <si>
    <t>Building type</t>
  </si>
  <si>
    <t>Convention Centre</t>
  </si>
  <si>
    <t>Dining: Family</t>
  </si>
  <si>
    <t>Dormitory</t>
  </si>
  <si>
    <t>Gymnasium</t>
  </si>
  <si>
    <t>Hospital</t>
  </si>
  <si>
    <t>Hotel</t>
  </si>
  <si>
    <t>Library</t>
  </si>
  <si>
    <t>Motel</t>
  </si>
  <si>
    <t>Motion Picture Theatre</t>
  </si>
  <si>
    <t>Museum</t>
  </si>
  <si>
    <t>Performing Arts Theatre</t>
  </si>
  <si>
    <t>Post Office</t>
  </si>
  <si>
    <t>Religious Building</t>
  </si>
  <si>
    <t>Sports Arena</t>
  </si>
  <si>
    <t>University/College</t>
  </si>
  <si>
    <t>Warehouse</t>
  </si>
  <si>
    <t>Workshop</t>
  </si>
  <si>
    <t>Annual operation and maintenance, etc. (not including elec and fuel costs)</t>
  </si>
  <si>
    <t>Net of GHG's due to electric and fuel effects</t>
  </si>
  <si>
    <t>blue text for electricity</t>
  </si>
  <si>
    <t>red text for fuel</t>
  </si>
  <si>
    <t>brown text for GHG</t>
  </si>
  <si>
    <t>black text for costing</t>
  </si>
  <si>
    <t>Proposed Electrical Service Upgrade Cost (ie. Interconnections)</t>
  </si>
  <si>
    <t>Simple Payback (without incentive)</t>
  </si>
  <si>
    <t>BCH #</t>
  </si>
  <si>
    <t xml:space="preserve">BC Hydro Representative: </t>
  </si>
  <si>
    <t>Project Information</t>
  </si>
  <si>
    <t>Site Address</t>
  </si>
  <si>
    <t>Site ID</t>
  </si>
  <si>
    <t>Total Expected Project Cost</t>
  </si>
  <si>
    <r>
      <t xml:space="preserve">Implemented as </t>
    </r>
    <r>
      <rPr>
        <b/>
        <sz val="8"/>
        <rFont val="Arial"/>
        <family val="2"/>
      </rPr>
      <t>Expected*</t>
    </r>
  </si>
  <si>
    <t>Not Installed</t>
  </si>
  <si>
    <t>PLEASE SEE BELOW OR NEXT PAGE TO SIGN DECLARATION</t>
  </si>
  <si>
    <t>Applicant's declaration</t>
  </si>
  <si>
    <t>Project Implementation Date</t>
  </si>
  <si>
    <t xml:space="preserve">Legal Name of Applicant: </t>
  </si>
  <si>
    <t xml:space="preserve">Authorized signature: </t>
  </si>
  <si>
    <t xml:space="preserve">Job Title: </t>
  </si>
  <si>
    <r>
      <t xml:space="preserve">Name </t>
    </r>
    <r>
      <rPr>
        <i/>
        <sz val="10"/>
        <color theme="1"/>
        <rFont val="Arial"/>
        <family val="2"/>
      </rPr>
      <t>(please print)</t>
    </r>
    <r>
      <rPr>
        <sz val="10"/>
        <color theme="1"/>
        <rFont val="Arial"/>
        <family val="2"/>
      </rPr>
      <t xml:space="preserve">: </t>
    </r>
  </si>
  <si>
    <t xml:space="preserve">Date: </t>
  </si>
  <si>
    <t>Site Inspection Contact:</t>
  </si>
  <si>
    <t xml:space="preserve">Phone #: </t>
  </si>
  <si>
    <t>Project information</t>
  </si>
  <si>
    <t>Project cost summary</t>
  </si>
  <si>
    <t>Total actual project cost (excluding tax)</t>
  </si>
  <si>
    <t>**Incentive funding may be adjusted if the actual project cost is less than the estimate project cost.</t>
  </si>
  <si>
    <t>Total estimated project cost (excluding tax)</t>
  </si>
  <si>
    <t>If total completed project cost is less than total expected project cost, please check that all invoices are accounted for as part of this Schedule C submission with no additional invoices to be submitted.</t>
  </si>
  <si>
    <t>PLEASE NOTE THAT SUBMISSION OF PROJECT INVOICES IS REQUIRED</t>
  </si>
  <si>
    <t>All submitted invoices must show each product’s manufacturer, full part number, quantity and overall cost</t>
  </si>
  <si>
    <r>
      <t>I, the undersigned, declare that the information contained in this declaration and</t>
    </r>
    <r>
      <rPr>
        <sz val="10"/>
        <rFont val="Arial"/>
        <family val="2"/>
      </rPr>
      <t xml:space="preserve"> the attached Invoice Reconciliation Template</t>
    </r>
    <r>
      <rPr>
        <sz val="10"/>
        <color theme="1"/>
        <rFont val="Arial"/>
        <family val="2"/>
      </rPr>
      <t xml:space="preserve"> is accurate and complete and all invoices pertaining to this Project have been paid in full and all applicable permits pertaining to the Project are in place.</t>
    </r>
  </si>
  <si>
    <t>Total expected GHG emissions reduciton</t>
  </si>
  <si>
    <t>Total Incremental Project Cost</t>
  </si>
  <si>
    <t>Electrification measures</t>
  </si>
  <si>
    <t xml:space="preserve">BCH File Number: </t>
  </si>
  <si>
    <r>
      <t xml:space="preserve">For </t>
    </r>
    <r>
      <rPr>
        <i/>
        <sz val="10"/>
        <color theme="1"/>
        <rFont val="Arial"/>
        <family val="2"/>
      </rPr>
      <t>all</t>
    </r>
    <r>
      <rPr>
        <sz val="10"/>
        <color theme="1"/>
        <rFont val="Arial"/>
        <family val="2"/>
      </rPr>
      <t xml:space="preserve"> EMs, please </t>
    </r>
    <r>
      <rPr>
        <b/>
        <sz val="10"/>
        <color theme="1"/>
        <rFont val="Arial"/>
        <family val="2"/>
      </rPr>
      <t>submit</t>
    </r>
    <r>
      <rPr>
        <sz val="10"/>
        <color theme="1"/>
        <rFont val="Arial"/>
        <family val="2"/>
      </rPr>
      <t xml:space="preserve"> an updated PRIP Workbook with the list of current EM(s) and quantities as implemented (attach separately)</t>
    </r>
  </si>
  <si>
    <t>If electrification measures (EM) are NOT implemented as expected, please review and check appropriately</t>
  </si>
  <si>
    <t>Please complete the following and submit along with Invoice Reconciliation and Implementation Support Documents for the approved electrification measure(s) as described in Schedule B of the Incentive Fund Agreement.</t>
  </si>
  <si>
    <t>Implemented electrification measures</t>
  </si>
  <si>
    <t>Table 1: List of electrification measures (“EM”)  in the Project</t>
  </si>
  <si>
    <t>Expected Annual Emissions Decrease (tonnes CO2e)</t>
  </si>
  <si>
    <t>tonnes CO2e</t>
  </si>
  <si>
    <t>Electric energy savings (negative number) caused by LCE measure</t>
  </si>
  <si>
    <t xml:space="preserve">Consultant Name: </t>
  </si>
  <si>
    <t xml:space="preserve">Consultant Contact: </t>
  </si>
  <si>
    <t xml:space="preserve">Consultant address: </t>
  </si>
  <si>
    <t>ekWh/yr</t>
  </si>
  <si>
    <t>Expected reduction in annual fuel consumption due to electrification? (equivalent kWh units)</t>
  </si>
  <si>
    <t>tCO2e/yr</t>
  </si>
  <si>
    <t>tCO2e</t>
  </si>
  <si>
    <t xml:space="preserve">Date of consultation with CEM Engineering: </t>
  </si>
  <si>
    <t>Instructions</t>
  </si>
  <si>
    <t xml:space="preserve">If applicable, enter name of BC Hydro Sponsored Energy Manager: </t>
  </si>
  <si>
    <r>
      <t xml:space="preserve">If desired, use this section to enter additional information about participants and this submission. For example, enter any existing customer project numbers, and/or information about deliverables, proposed schedules, assumptions, clarifications, exclusions, etc.   List any attached files, including supporting documents. Please save the final version of this document in PDF format. 
</t>
    </r>
    <r>
      <rPr>
        <b/>
        <sz val="10"/>
        <color theme="1"/>
        <rFont val="Arial"/>
        <family val="2"/>
      </rPr>
      <t>Press Alt + Enter to enter a new lines.</t>
    </r>
  </si>
  <si>
    <t>Substation ID ie. SEA</t>
  </si>
  <si>
    <t>Is the Feeder going to be at capacity limits (&gt;80%) with the additional LCE load?</t>
  </si>
  <si>
    <t>Substation Information</t>
  </si>
  <si>
    <t>MVA</t>
  </si>
  <si>
    <t>Is there Sufficient capacity available to handle the additional LCE load?</t>
  </si>
  <si>
    <t>What is the number of available spare feeders?</t>
  </si>
  <si>
    <t>V</t>
  </si>
  <si>
    <t>KVA</t>
  </si>
  <si>
    <t>Substation capacity available ie. 6.5 MVA</t>
  </si>
  <si>
    <t>Feeder Voltage (ie. 12,500V)</t>
  </si>
  <si>
    <t>Primary Feeder Circuit ID (ie. 1255 SEA)</t>
  </si>
  <si>
    <t>Feeder Amp Limit (ie. 400 Amps)</t>
  </si>
  <si>
    <t>Feeder Demand Limit</t>
  </si>
  <si>
    <t>Total Maximum Feeder Demand (Inclusive of LCE Project)?</t>
  </si>
  <si>
    <t>Maximum Feeder Demand (ie. 5000 kVA)</t>
  </si>
  <si>
    <t>Source</t>
  </si>
  <si>
    <t>DAD</t>
  </si>
  <si>
    <t>MaxDemand</t>
  </si>
  <si>
    <t>PreScreen</t>
  </si>
  <si>
    <t>What is estimated increase in feeder demand from the LCE project?</t>
  </si>
  <si>
    <t>Substation Capicity availibility with LCE?</t>
  </si>
  <si>
    <t>What is estimated increase in feeder demand from the LCE project (ie. 100KVA)?</t>
  </si>
  <si>
    <t>Customer Information</t>
  </si>
  <si>
    <t>CAN #</t>
  </si>
  <si>
    <t>Meter ID</t>
  </si>
  <si>
    <t>AHR</t>
  </si>
  <si>
    <t>Primary Circuit Feeder Information - Winter</t>
  </si>
  <si>
    <t>Primary Circuit Feeder Information - Summer</t>
  </si>
  <si>
    <t>Substation Upgrade Costs</t>
  </si>
  <si>
    <t>Customer Cost Allocation</t>
  </si>
  <si>
    <t>Feeder Upgrade Costs</t>
  </si>
  <si>
    <t>Scope of Work</t>
  </si>
  <si>
    <t>Conceptual level cost information to be provided by the D planner</t>
  </si>
  <si>
    <t>LCE Capacity Review</t>
  </si>
  <si>
    <t>The low-carbon electrification pre-screen will be reviewed by BCH Conservation &amp; Energy Management Engineering on behalf of CleanBC and will look for reasonable assumptions, appropriate methodology and results that are consistent with sound judgement and similar project experience.  The customer/consultant will be  given every opportunity to revise as needed. The pre-screen materials submitted will not be analyzed in sufficient detail to verify all calculations as the customer/consultant retains all responsibility for information provided.</t>
  </si>
  <si>
    <t>The purpose of this Pre-Screen document is to provide guidance on collecting information needed to propose Low-Carbon Electrification (LCE) opportunities and determine if further study is warranted for the CleanBC Custom Program</t>
  </si>
  <si>
    <t>Is the Engineer of Record familiar with CleanBC Custom Program study guidelines?</t>
  </si>
  <si>
    <r>
      <t xml:space="preserve">Proposed professional engineer of record details </t>
    </r>
    <r>
      <rPr>
        <sz val="10"/>
        <color rgb="FF005C97"/>
        <rFont val="Arial"/>
        <family val="2"/>
      </rPr>
      <t>for subsequent assessment or study (if known)</t>
    </r>
  </si>
  <si>
    <t xml:space="preserve">Total Proposed Additional Load (excluding LCE): </t>
  </si>
  <si>
    <r>
      <rPr>
        <b/>
        <sz val="15"/>
        <color rgb="FF61A744"/>
        <rFont val="Arial Black"/>
        <family val="2"/>
      </rPr>
      <t>CleanBC</t>
    </r>
    <r>
      <rPr>
        <b/>
        <sz val="15"/>
        <color rgb="FF005C97"/>
        <rFont val="Arial Black"/>
        <family val="2"/>
      </rPr>
      <t xml:space="preserve"> Custom Incentives</t>
    </r>
  </si>
  <si>
    <r>
      <rPr>
        <b/>
        <sz val="18"/>
        <color rgb="FF61A744"/>
        <rFont val="Arial Black"/>
        <family val="2"/>
      </rPr>
      <t>CleanBC</t>
    </r>
    <r>
      <rPr>
        <b/>
        <sz val="18"/>
        <color rgb="FF005C97"/>
        <rFont val="Arial Black"/>
        <family val="2"/>
      </rPr>
      <t xml:space="preserve"> Custom Incentives
</t>
    </r>
    <r>
      <rPr>
        <sz val="18"/>
        <color rgb="FF005C97"/>
        <rFont val="Arial"/>
        <family val="2"/>
      </rPr>
      <t>Project study results sheet</t>
    </r>
  </si>
  <si>
    <r>
      <rPr>
        <b/>
        <sz val="26"/>
        <color rgb="FF61A744"/>
        <rFont val="Arial Black"/>
        <family val="2"/>
      </rPr>
      <t>CleanBC</t>
    </r>
    <r>
      <rPr>
        <b/>
        <sz val="26"/>
        <color rgb="FF005C97"/>
        <rFont val="Arial Black"/>
        <family val="2"/>
      </rPr>
      <t xml:space="preserve"> Custom Incentives
</t>
    </r>
    <r>
      <rPr>
        <sz val="26"/>
        <color rgb="FF005C97"/>
        <rFont val="Arial"/>
        <family val="2"/>
      </rPr>
      <t>Summary report</t>
    </r>
  </si>
  <si>
    <t>White, bordered cells for user inputs</t>
  </si>
  <si>
    <t>HVACandDHW</t>
  </si>
  <si>
    <t>H/D Persistence</t>
  </si>
  <si>
    <t>day-month-year</t>
  </si>
  <si>
    <t>Sheet Name</t>
  </si>
  <si>
    <t>FIRST Review - by 
NAME
EMAIL
TEL</t>
  </si>
  <si>
    <r>
      <t xml:space="preserve">RESPONSE to </t>
    </r>
    <r>
      <rPr>
        <b/>
        <u/>
        <sz val="10"/>
        <color theme="0"/>
        <rFont val="Arial"/>
        <family val="2"/>
      </rPr>
      <t>First</t>
    </r>
    <r>
      <rPr>
        <b/>
        <sz val="10"/>
        <color theme="0"/>
        <rFont val="Arial"/>
        <family val="2"/>
      </rPr>
      <t xml:space="preserve"> Review - by 
NAME
EMAIL
TEL</t>
    </r>
  </si>
  <si>
    <t>SECOND Review - by 
NAME
EMAIL
TEL</t>
  </si>
  <si>
    <r>
      <t xml:space="preserve">RESPONSE to </t>
    </r>
    <r>
      <rPr>
        <b/>
        <u/>
        <sz val="10"/>
        <color theme="0"/>
        <rFont val="Arial"/>
        <family val="2"/>
      </rPr>
      <t>Second</t>
    </r>
    <r>
      <rPr>
        <b/>
        <sz val="10"/>
        <color theme="0"/>
        <rFont val="Arial"/>
        <family val="2"/>
      </rPr>
      <t xml:space="preserve"> Review - by 
NAME
EMAIL
TEL</t>
    </r>
  </si>
  <si>
    <t>Net Incremental Electrical Average Monthly Peak Demand</t>
  </si>
  <si>
    <t>Average Monthly Peak Demand</t>
  </si>
  <si>
    <t>Annual Peak Demand</t>
  </si>
  <si>
    <t>DHW 	Air-to-Water CO2 Heat Pump Water Heater</t>
  </si>
  <si>
    <t>DHW 	Air-to-Water Heat Pump (central plant)</t>
  </si>
  <si>
    <t>DHW 	Air-to-Water Heat Pump Water Heater</t>
  </si>
  <si>
    <t>DHW 	Electric Boiler</t>
  </si>
  <si>
    <t>DHW 	Electric Water Heater</t>
  </si>
  <si>
    <t>DHW 	Ground Source Heat Pump</t>
  </si>
  <si>
    <t>DHW 	Heat Recovery Chiller</t>
  </si>
  <si>
    <t>DHW 	Sewage Heat Recovery Heat Pump</t>
  </si>
  <si>
    <t>DHW 	Water-to-Water Heat Pump</t>
  </si>
  <si>
    <t>HVAC 	Air Source VRF Distributed Heat Pumps</t>
  </si>
  <si>
    <t>HVAC 	Air Source VRF Distributed Heat Pumps with High-efficiency (&gt;75%) HRV</t>
  </si>
  <si>
    <t>HVAC 	Air-to-Air Heat Pump (ductless or minisplit)</t>
  </si>
  <si>
    <t>HVAC 	Air-to-Air Heat Pump (ductless or mini-split) with High-efficiency (&gt;75%) HRV</t>
  </si>
  <si>
    <t>HVAC 	Air-to-Water Heat Pump</t>
  </si>
  <si>
    <t>HVAC 	Electric Boiler</t>
  </si>
  <si>
    <t>HVAC 	Electric Water Heater</t>
  </si>
  <si>
    <t>HVAC 	Exhaust Air Heat Recovery Heat Pump</t>
  </si>
  <si>
    <t>HVAC 	Ground Source Heat Pump</t>
  </si>
  <si>
    <t>HVAC 	Heat Recovery Chiller</t>
  </si>
  <si>
    <t>HVAC 	High-efficiency (&gt;75%) HRV</t>
  </si>
  <si>
    <t>HVAC 	Rooftop Air-to-Air Heat Pump</t>
  </si>
  <si>
    <t>HVAC 	Rooftop Air-to-Air Heat Pump Make Up Air Unit with Electric Backup</t>
  </si>
  <si>
    <t>HVAC 	Rooftop Air-to-Air Heat Pump Make Up Air Unit with Gas Backup</t>
  </si>
  <si>
    <t>HVAC 	Rooftop Air-to-Air Heat Pump Mixed Air Unit with Electric Backup</t>
  </si>
  <si>
    <t>HVAC 	Rooftop Air-to-Air Heat Pump Mixed Air Unit with Gas Backup</t>
  </si>
  <si>
    <t>HVAC 	Rooftop Air-to-Air Heat Pump Mixed Air Unit with Gas Backup and High-efficiency (&gt;75%) HRV</t>
  </si>
  <si>
    <t>HVAC 	Rooftop Air-to-Water Heat Pump</t>
  </si>
  <si>
    <t>HVAC 	Water Source VRF Distributed Heat Pumps</t>
  </si>
  <si>
    <t>HVAC 	Water-to-Water Heat Pump</t>
  </si>
  <si>
    <t>HVAC 	Water-to-Air (Water-Source) Distributed Heat Pumps</t>
  </si>
  <si>
    <t>District Energy Fuel(s)</t>
  </si>
  <si>
    <t>Fill this cell</t>
  </si>
  <si>
    <t>Process Load (electric) excluding energy saving effect if applicable</t>
  </si>
  <si>
    <t>Process Load (Fuel)</t>
  </si>
  <si>
    <t>Consultant Details</t>
  </si>
  <si>
    <t>Fuel consumption and GHG emissions for project's site / facility</t>
  </si>
  <si>
    <t>average persistence</t>
  </si>
  <si>
    <t>Total GHG reduction (based on persistence of LCE measure)</t>
  </si>
  <si>
    <t>How will the baseline energy, demand and GHG emissions for each proposed low-carbon electrification measure be determined?  (Note: The energy efficiency standards in the current BC building code or local bylaws should be used to determine the baseline)</t>
  </si>
  <si>
    <t>(indicate existing metering and strategy for gathering the required data/information)</t>
  </si>
  <si>
    <t>Enter the details for the project team that will complete the work.  Please note that any changes to the team will need approval from Alliance</t>
  </si>
  <si>
    <t>Net incremental annual electricity
(kWh / year )</t>
  </si>
  <si>
    <t>No</t>
  </si>
  <si>
    <t>Labour plus Engineering</t>
  </si>
  <si>
    <t>Aquatic Centre -Swimming Pool</t>
  </si>
  <si>
    <t>Automotive Facility</t>
  </si>
  <si>
    <t>Courthouse</t>
  </si>
  <si>
    <t>Dining: Bar/Lounge/Leisure</t>
  </si>
  <si>
    <t>Dining: Cafeteria/Fast Food</t>
  </si>
  <si>
    <t>Fire Station</t>
  </si>
  <si>
    <t>Food Retail / Grocery</t>
  </si>
  <si>
    <t>Healthcare-Clinic/Nursing</t>
  </si>
  <si>
    <t>Ice Arena</t>
  </si>
  <si>
    <t>Laboratory / Research Centre</t>
  </si>
  <si>
    <t>Manufacturing Facility</t>
  </si>
  <si>
    <t>Mixed Use</t>
  </si>
  <si>
    <t xml:space="preserve">MURB over 6 storey </t>
  </si>
  <si>
    <t>MURB up to 6 storey</t>
  </si>
  <si>
    <t>Office - Large  (over 50,000 sqft)</t>
  </si>
  <si>
    <t>Office - Small (under 50,000 sqft)</t>
  </si>
  <si>
    <t>Penitentiary</t>
  </si>
  <si>
    <t>Police Station</t>
  </si>
  <si>
    <t>Retail - large (over 50,000 sqft)</t>
  </si>
  <si>
    <t>Retail - small (under 50,000 sqft)</t>
  </si>
  <si>
    <t>School - primary</t>
  </si>
  <si>
    <t>School - secondary</t>
  </si>
  <si>
    <t>Town Hall</t>
  </si>
  <si>
    <t>Recreation / Exercise Centre</t>
  </si>
  <si>
    <t>BCH LCE Custom</t>
  </si>
  <si>
    <t>BCH LCE Custom (Yes/No)</t>
  </si>
  <si>
    <t>CleanBC</t>
  </si>
  <si>
    <t>Baseline Case</t>
  </si>
  <si>
    <t>Proposed Case</t>
  </si>
  <si>
    <t>Project's Total Electricity Use Percentage</t>
  </si>
  <si>
    <t>&lt;&lt; based on building total energy &gt;&gt;</t>
  </si>
  <si>
    <t>Project's Total Fuel Use Percentage</t>
  </si>
  <si>
    <t xml:space="preserve">Company Legal Name: </t>
  </si>
  <si>
    <t xml:space="preserve">Company Head Office Address: </t>
  </si>
  <si>
    <t xml:space="preserve">Primary Contact Name: </t>
  </si>
  <si>
    <t>changed from 13.1 as per Andew (Minstry) email on 09 May 2022.</t>
  </si>
  <si>
    <t>Provide possible start date and submission date of the energy study</t>
  </si>
  <si>
    <t>2020 B.C. BEST PRACTICES METHODOLOGY FOR QUANTIFYING GREENHOUSE GAS EMISSIONS (April 2021)</t>
  </si>
  <si>
    <t>https://www2.gov.bc.ca/assets/gov/environment/climate-change/cng/methodology/2020-pso-methodology.pdf</t>
  </si>
  <si>
    <t>Swimming Pool Water Heating PROCESS Air-to-Water Heat Pump</t>
  </si>
  <si>
    <t>Swimming Pool Water Heating PROCESS Electric Boiler</t>
  </si>
  <si>
    <t>Swimming Pool Water Heating PROCESS Heat Recovery Chiller</t>
  </si>
  <si>
    <t>Swimming Pool Water Heating PROCESS Rooftop Air-to-Water Heat Pump</t>
  </si>
  <si>
    <t>Swimming Pool Water Heating PROCESS Water-to-Water Heat Pump</t>
  </si>
  <si>
    <t>Food Preparation Retrofit Electrify Food Preparation Equipment</t>
  </si>
  <si>
    <t>Not Applicable</t>
  </si>
  <si>
    <t>CleanBC Custom Workbook
Version 3.0
August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</si>
</sst>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44" formatCode="_(&quot;$&quot;* #,##0.00_);_(&quot;$&quot;* \(#,##0.00\);_(&quot;$&quot;* &quot;-&quot;??_);_(@_)"/>
    <numFmt numFmtId="43" formatCode="_(* #,##0.00_);_(* \(#,##0.00\);_(* &quot;-&quot;??_);_(@_)"/>
    <numFmt numFmtId="164" formatCode="&quot;$&quot;#,##0"/>
    <numFmt numFmtId="165" formatCode="&quot;$&quot;#,##0.00"/>
    <numFmt numFmtId="166" formatCode="_(&quot;$&quot;* #,##0_);_(&quot;$&quot;* \(#,##0\);_(&quot;$&quot;* &quot;-&quot;??_);_(@_)"/>
    <numFmt numFmtId="167" formatCode="_(* #,##0_);_(* \(#,##0\);_(* &quot;-&quot;??_);_(@_)"/>
    <numFmt numFmtId="168" formatCode="0.00000"/>
    <numFmt numFmtId="169" formatCode="0.0000"/>
    <numFmt numFmtId="170" formatCode="0.000000"/>
    <numFmt numFmtId="171" formatCode="0.000"/>
    <numFmt numFmtId="172" formatCode="[$-409]mmmm\ d\,\ yyyy;@"/>
    <numFmt numFmtId="173" formatCode="General&quot;.&quot;"/>
    <numFmt numFmtId="174" formatCode="0.000\ &quot;tonneCO2e/yr&quot;"/>
    <numFmt numFmtId="175" formatCode="0.0"/>
    <numFmt numFmtId="176" formatCode="#,##0.0"/>
    <numFmt numFmtId="177" formatCode="0.0%"/>
    <numFmt numFmtId="178" formatCode="_(* #,##0.0_);_(* \(#,##0.0\);_(* &quot;-&quot;??_);_(@_)"/>
  </numFmts>
  <fonts count="152"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3"/>
      <color theme="3"/>
      <name val="Arial"/>
      <family val="2"/>
    </font>
    <font>
      <sz val="10"/>
      <name val="Arial"/>
      <family val="2"/>
    </font>
    <font>
      <sz val="16"/>
      <color theme="1"/>
      <name val="Arial"/>
      <family val="2"/>
    </font>
    <font>
      <b/>
      <sz val="10"/>
      <color theme="1"/>
      <name val="Arial"/>
      <family val="2"/>
    </font>
    <font>
      <b/>
      <sz val="15"/>
      <color theme="3"/>
      <name val="Arial"/>
      <family val="2"/>
    </font>
    <font>
      <b/>
      <sz val="12"/>
      <color theme="1"/>
      <name val="Arial"/>
      <family val="2"/>
    </font>
    <font>
      <u/>
      <sz val="10"/>
      <color theme="10"/>
      <name val="Arial"/>
      <family val="2"/>
    </font>
    <font>
      <b/>
      <sz val="11"/>
      <color theme="1"/>
      <name val="Calibri"/>
      <family val="2"/>
      <scheme val="minor"/>
    </font>
    <font>
      <u/>
      <sz val="11"/>
      <color theme="1"/>
      <name val="Calibri"/>
      <family val="2"/>
      <scheme val="minor"/>
    </font>
    <font>
      <vertAlign val="superscript"/>
      <sz val="11"/>
      <color theme="1"/>
      <name val="Calibri"/>
      <family val="2"/>
      <scheme val="minor"/>
    </font>
    <font>
      <b/>
      <sz val="10"/>
      <color theme="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1F497D"/>
      <name val="Arial"/>
      <family val="2"/>
    </font>
    <font>
      <sz val="10"/>
      <color rgb="FF000000"/>
      <name val="Arial"/>
      <family val="2"/>
    </font>
    <font>
      <sz val="11"/>
      <name val="Calibri"/>
      <family val="2"/>
      <scheme val="minor"/>
    </font>
    <font>
      <b/>
      <sz val="11"/>
      <color theme="0"/>
      <name val="Calibri"/>
      <family val="2"/>
      <scheme val="minor"/>
    </font>
    <font>
      <b/>
      <i/>
      <sz val="11"/>
      <color theme="1"/>
      <name val="Calibri"/>
      <family val="2"/>
      <scheme val="minor"/>
    </font>
    <font>
      <sz val="10"/>
      <name val="Times New Roman"/>
      <family val="1"/>
    </font>
    <font>
      <sz val="10"/>
      <color indexed="8"/>
      <name val="Arial"/>
      <family val="2"/>
    </font>
    <font>
      <u/>
      <sz val="10"/>
      <color theme="10"/>
      <name val="Times New Roman"/>
      <family val="1"/>
    </font>
    <font>
      <sz val="10"/>
      <color indexed="10"/>
      <name val="Arial"/>
      <family val="2"/>
    </font>
    <font>
      <b/>
      <sz val="10"/>
      <color indexed="10"/>
      <name val="Arial"/>
      <family val="2"/>
    </font>
    <font>
      <b/>
      <sz val="10"/>
      <name val="Arial"/>
      <family val="2"/>
    </font>
    <font>
      <b/>
      <sz val="11"/>
      <color theme="9" tint="-0.249977111117893"/>
      <name val="Calibri"/>
      <family val="2"/>
      <scheme val="minor"/>
    </font>
    <font>
      <i/>
      <sz val="11"/>
      <color theme="1"/>
      <name val="Calibri"/>
      <family val="2"/>
      <scheme val="minor"/>
    </font>
    <font>
      <i/>
      <sz val="11"/>
      <color rgb="FFFF0000"/>
      <name val="Calibri"/>
      <family val="2"/>
      <scheme val="minor"/>
    </font>
    <font>
      <vertAlign val="subscript"/>
      <sz val="11"/>
      <color theme="1"/>
      <name val="Calibri"/>
      <family val="2"/>
      <scheme val="minor"/>
    </font>
    <font>
      <b/>
      <sz val="11"/>
      <color theme="0" tint="-0.34998626667073579"/>
      <name val="Calibri"/>
      <family val="2"/>
      <scheme val="minor"/>
    </font>
    <font>
      <sz val="11"/>
      <color theme="0" tint="-0.34998626667073579"/>
      <name val="Calibri"/>
      <family val="2"/>
      <scheme val="minor"/>
    </font>
    <font>
      <i/>
      <sz val="11"/>
      <color theme="0" tint="-0.34998626667073579"/>
      <name val="Calibri"/>
      <family val="2"/>
      <scheme val="minor"/>
    </font>
    <font>
      <b/>
      <sz val="10"/>
      <color rgb="FFFF0000"/>
      <name val="Times New Roman"/>
      <family val="1"/>
    </font>
    <font>
      <b/>
      <sz val="10"/>
      <color rgb="FFFF0000"/>
      <name val="Arial"/>
      <family val="2"/>
    </font>
    <font>
      <b/>
      <sz val="26"/>
      <name val="Arial"/>
      <family val="2"/>
    </font>
    <font>
      <i/>
      <sz val="10"/>
      <color theme="0" tint="-0.499984740745262"/>
      <name val="Arial"/>
      <family val="2"/>
    </font>
    <font>
      <i/>
      <sz val="10"/>
      <color theme="1"/>
      <name val="Arial"/>
      <family val="2"/>
    </font>
    <font>
      <b/>
      <i/>
      <sz val="10"/>
      <color theme="1"/>
      <name val="Arial"/>
      <family val="2"/>
    </font>
    <font>
      <sz val="10"/>
      <color rgb="FFFF0000"/>
      <name val="Arial"/>
      <family val="2"/>
    </font>
    <font>
      <i/>
      <sz val="10"/>
      <color rgb="FFFF0000"/>
      <name val="Arial"/>
      <family val="2"/>
    </font>
    <font>
      <sz val="12"/>
      <name val="Arial Black"/>
      <family val="2"/>
    </font>
    <font>
      <i/>
      <sz val="10"/>
      <color theme="0"/>
      <name val="Arial"/>
      <family val="2"/>
    </font>
    <font>
      <b/>
      <i/>
      <sz val="10"/>
      <name val="Arial"/>
      <family val="2"/>
    </font>
    <font>
      <sz val="10"/>
      <color theme="0" tint="-0.499984740745262"/>
      <name val="Arial"/>
      <family val="2"/>
    </font>
    <font>
      <i/>
      <sz val="10"/>
      <color rgb="FF004F6C"/>
      <name val="Arial"/>
      <family val="2"/>
    </font>
    <font>
      <sz val="10"/>
      <color theme="0" tint="-0.14999847407452621"/>
      <name val="Arial"/>
      <family val="2"/>
    </font>
    <font>
      <b/>
      <sz val="10"/>
      <color rgb="FF00B0F0"/>
      <name val="Arial Narrow"/>
      <family val="2"/>
    </font>
    <font>
      <sz val="10"/>
      <color theme="0" tint="-0.249977111117893"/>
      <name val="Arial"/>
      <family val="2"/>
    </font>
    <font>
      <b/>
      <sz val="10"/>
      <color theme="9" tint="-0.499984740745262"/>
      <name val="Arial"/>
      <family val="2"/>
    </font>
    <font>
      <sz val="10"/>
      <color rgb="FF0070C0"/>
      <name val="Arial"/>
      <family val="2"/>
    </font>
    <font>
      <sz val="10"/>
      <color theme="9" tint="-0.499984740745262"/>
      <name val="Arial"/>
      <family val="2"/>
    </font>
    <font>
      <sz val="10"/>
      <color indexed="8"/>
      <name val="Calibri"/>
      <family val="2"/>
    </font>
    <font>
      <sz val="10"/>
      <name val="Calibri"/>
      <family val="2"/>
    </font>
    <font>
      <b/>
      <sz val="26"/>
      <name val="Arial Black"/>
      <family val="2"/>
    </font>
    <font>
      <sz val="10"/>
      <color rgb="FF004F6C"/>
      <name val="Arial"/>
      <family val="2"/>
    </font>
    <font>
      <b/>
      <sz val="10"/>
      <color indexed="8"/>
      <name val="Calibri"/>
      <family val="2"/>
    </font>
    <font>
      <b/>
      <sz val="10"/>
      <color indexed="8"/>
      <name val="Arial"/>
      <family val="2"/>
    </font>
    <font>
      <sz val="10"/>
      <color rgb="FFFF0000"/>
      <name val="Calibri"/>
      <family val="2"/>
      <scheme val="minor"/>
    </font>
    <font>
      <sz val="10"/>
      <color rgb="FF00B050"/>
      <name val="Arial"/>
      <family val="2"/>
    </font>
    <font>
      <sz val="11"/>
      <color theme="1"/>
      <name val="Arial"/>
      <family val="2"/>
    </font>
    <font>
      <sz val="9"/>
      <color theme="1"/>
      <name val="Arial"/>
      <family val="2"/>
    </font>
    <font>
      <b/>
      <sz val="8"/>
      <color theme="1"/>
      <name val="Arial"/>
      <family val="2"/>
    </font>
    <font>
      <sz val="8"/>
      <color theme="1"/>
      <name val="Arial"/>
      <family val="2"/>
    </font>
    <font>
      <b/>
      <sz val="12"/>
      <color theme="0"/>
      <name val="Arial"/>
      <family val="2"/>
    </font>
    <font>
      <b/>
      <sz val="8"/>
      <name val="Arial"/>
      <family val="2"/>
    </font>
    <font>
      <sz val="8"/>
      <color theme="0"/>
      <name val="Arial"/>
      <family val="2"/>
    </font>
    <font>
      <sz val="11"/>
      <color theme="0"/>
      <name val="Arial"/>
      <family val="2"/>
    </font>
    <font>
      <b/>
      <sz val="14"/>
      <color theme="1"/>
      <name val="Arial"/>
      <family val="2"/>
    </font>
    <font>
      <sz val="10"/>
      <color theme="1"/>
      <name val="Calibri"/>
      <family val="2"/>
    </font>
    <font>
      <i/>
      <sz val="8"/>
      <color theme="6" tint="-0.499984740745262"/>
      <name val="Arial"/>
      <family val="2"/>
    </font>
    <font>
      <b/>
      <sz val="12"/>
      <color rgb="FF000099"/>
      <name val="Arial"/>
      <family val="2"/>
    </font>
    <font>
      <sz val="8"/>
      <color rgb="FF000000"/>
      <name val="Tahoma"/>
      <family val="2"/>
    </font>
    <font>
      <b/>
      <i/>
      <sz val="8"/>
      <color theme="1"/>
      <name val="Arial"/>
      <family val="2"/>
    </font>
    <font>
      <b/>
      <i/>
      <sz val="9"/>
      <color theme="1"/>
      <name val="Arial"/>
      <family val="2"/>
    </font>
    <font>
      <i/>
      <sz val="10"/>
      <name val="Arial"/>
      <family val="2"/>
    </font>
    <font>
      <i/>
      <sz val="9"/>
      <name val="Arial"/>
      <family val="2"/>
    </font>
    <font>
      <sz val="10"/>
      <color theme="5" tint="-0.249977111117893"/>
      <name val="Arial"/>
      <family val="2"/>
    </font>
    <font>
      <i/>
      <sz val="8"/>
      <name val="Arial"/>
      <family val="2"/>
    </font>
    <font>
      <sz val="11"/>
      <color theme="1"/>
      <name val="Calibri"/>
      <family val="2"/>
    </font>
    <font>
      <sz val="12"/>
      <color theme="1"/>
      <name val="Calibri"/>
      <family val="2"/>
      <scheme val="minor"/>
    </font>
    <font>
      <sz val="12"/>
      <color rgb="FFFF0000"/>
      <name val="Calibri"/>
      <family val="2"/>
      <scheme val="minor"/>
    </font>
    <font>
      <sz val="12"/>
      <color theme="1"/>
      <name val="Arial"/>
      <family val="2"/>
    </font>
    <font>
      <b/>
      <sz val="14"/>
      <color theme="1"/>
      <name val="Calibri"/>
      <family val="2"/>
      <scheme val="minor"/>
    </font>
    <font>
      <sz val="9"/>
      <color indexed="81"/>
      <name val="Tahoma"/>
      <family val="2"/>
    </font>
    <font>
      <b/>
      <sz val="9"/>
      <color indexed="81"/>
      <name val="Tahoma"/>
      <family val="2"/>
    </font>
    <font>
      <b/>
      <sz val="12"/>
      <color rgb="FFFF0000"/>
      <name val="Calibri"/>
      <family val="2"/>
      <scheme val="minor"/>
    </font>
    <font>
      <i/>
      <sz val="12"/>
      <color theme="1"/>
      <name val="Calibri"/>
      <family val="2"/>
      <scheme val="minor"/>
    </font>
    <font>
      <b/>
      <sz val="16"/>
      <color rgb="FF10A3C8"/>
      <name val="Calibri"/>
      <family val="2"/>
      <scheme val="minor"/>
    </font>
    <font>
      <sz val="10"/>
      <color theme="0"/>
      <name val="Arial"/>
      <family val="2"/>
    </font>
    <font>
      <b/>
      <sz val="26"/>
      <color rgb="FF005C97"/>
      <name val="Arial Black"/>
      <family val="2"/>
    </font>
    <font>
      <b/>
      <sz val="26"/>
      <color rgb="FF61A744"/>
      <name val="Arial Black"/>
      <family val="2"/>
    </font>
    <font>
      <b/>
      <sz val="10"/>
      <color rgb="FF005C97"/>
      <name val="Arial"/>
      <family val="2"/>
    </font>
    <font>
      <sz val="10"/>
      <color rgb="FF005C97"/>
      <name val="Arial"/>
      <family val="2"/>
    </font>
    <font>
      <b/>
      <sz val="18"/>
      <color rgb="FF005C97"/>
      <name val="Arial Black"/>
      <family val="2"/>
    </font>
    <font>
      <b/>
      <sz val="18"/>
      <color rgb="FF61A744"/>
      <name val="Arial Black"/>
      <family val="2"/>
    </font>
    <font>
      <b/>
      <sz val="15"/>
      <color rgb="FF61A744"/>
      <name val="Arial Black"/>
      <family val="2"/>
    </font>
    <font>
      <b/>
      <sz val="15"/>
      <color rgb="FF005C97"/>
      <name val="Arial Black"/>
      <family val="2"/>
    </font>
    <font>
      <b/>
      <i/>
      <sz val="10"/>
      <color rgb="FF005C97"/>
      <name val="Arial"/>
      <family val="2"/>
    </font>
    <font>
      <sz val="14"/>
      <color rgb="FF61A744"/>
      <name val="Arial Black"/>
      <family val="2"/>
    </font>
    <font>
      <sz val="14"/>
      <color rgb="FF005C97"/>
      <name val="Arial Black"/>
      <family val="2"/>
    </font>
    <font>
      <b/>
      <sz val="12"/>
      <color rgb="FF61A744"/>
      <name val="Arial"/>
      <family val="2"/>
    </font>
    <font>
      <b/>
      <sz val="12"/>
      <color rgb="FF005C97"/>
      <name val="Arial"/>
      <family val="2"/>
    </font>
    <font>
      <sz val="14"/>
      <color rgb="FF005C97"/>
      <name val="Arial"/>
      <family val="2"/>
    </font>
    <font>
      <sz val="18"/>
      <color rgb="FF005C97"/>
      <name val="Arial"/>
      <family val="2"/>
    </font>
    <font>
      <sz val="26"/>
      <color rgb="FF005C97"/>
      <name val="Arial"/>
      <family val="2"/>
    </font>
    <font>
      <b/>
      <sz val="12"/>
      <color theme="0"/>
      <name val="Arial Black"/>
      <family val="2"/>
    </font>
    <font>
      <sz val="10"/>
      <color rgb="FFC00000"/>
      <name val="Arial"/>
      <family val="2"/>
    </font>
    <font>
      <b/>
      <u/>
      <sz val="10"/>
      <color theme="0"/>
      <name val="Arial"/>
      <family val="2"/>
    </font>
    <font>
      <sz val="10"/>
      <color theme="0" tint="-4.9989318521683403E-2"/>
      <name val="Arial"/>
      <family val="2"/>
    </font>
    <font>
      <b/>
      <u/>
      <sz val="10"/>
      <name val="Arial"/>
      <family val="2"/>
    </font>
    <font>
      <sz val="11"/>
      <color rgb="FF0070C0"/>
      <name val="Arial"/>
      <family val="2"/>
    </font>
    <font>
      <sz val="11"/>
      <color rgb="FFFF0000"/>
      <name val="Arial"/>
      <family val="2"/>
    </font>
    <font>
      <sz val="11"/>
      <color rgb="FFFF0000"/>
      <name val="Calibri"/>
      <family val="2"/>
      <scheme val="minor"/>
    </font>
    <font>
      <u/>
      <sz val="9"/>
      <color theme="10"/>
      <name val="Times New Roman"/>
      <family val="1"/>
    </font>
  </fonts>
  <fills count="56">
    <fill>
      <patternFill patternType="none"/>
    </fill>
    <fill>
      <patternFill patternType="gray125"/>
    </fill>
    <fill>
      <patternFill patternType="solid">
        <fgColor theme="5" tint="0.59999389629810485"/>
        <bgColor indexed="65"/>
      </patternFill>
    </fill>
    <fill>
      <patternFill patternType="solid">
        <fgColor theme="0" tint="-0.1499984740745262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auto="1"/>
        <bgColor indexed="64"/>
      </patternFill>
    </fill>
    <fill>
      <patternFill patternType="solid">
        <fgColor theme="1"/>
        <bgColor theme="1"/>
      </patternFill>
    </fill>
    <fill>
      <patternFill patternType="solid">
        <fgColor rgb="FFFFFFCC"/>
      </patternFill>
    </fill>
    <fill>
      <patternFill patternType="solid">
        <fgColor indexed="43"/>
        <bgColor indexed="64"/>
      </patternFill>
    </fill>
    <fill>
      <patternFill patternType="solid">
        <fgColor indexed="47"/>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10A3C8"/>
        <bgColor indexed="64"/>
      </patternFill>
    </fill>
    <fill>
      <patternFill patternType="solid">
        <fgColor rgb="FFDCF6FC"/>
        <bgColor indexed="64"/>
      </patternFill>
    </fill>
    <fill>
      <patternFill patternType="solid">
        <fgColor rgb="FF046A38"/>
        <bgColor indexed="64"/>
      </patternFill>
    </fill>
    <fill>
      <patternFill patternType="solid">
        <fgColor rgb="FFECFEF5"/>
        <bgColor indexed="64"/>
      </patternFill>
    </fill>
    <fill>
      <patternFill patternType="solid">
        <fgColor rgb="FF61A744"/>
        <bgColor indexed="64"/>
      </patternFill>
    </fill>
    <fill>
      <patternFill patternType="solid">
        <fgColor rgb="FF005C97"/>
        <bgColor indexed="64"/>
      </patternFill>
    </fill>
    <fill>
      <patternFill patternType="solid">
        <fgColor rgb="FFC7E2AC"/>
        <bgColor indexed="64"/>
      </patternFill>
    </fill>
    <fill>
      <patternFill patternType="solid">
        <fgColor rgb="FFD1EDFF"/>
        <bgColor indexed="64"/>
      </patternFill>
    </fill>
    <fill>
      <patternFill patternType="solid">
        <fgColor theme="2" tint="-0.499984740745262"/>
        <bgColor indexed="64"/>
      </patternFill>
    </fill>
    <fill>
      <patternFill patternType="solid">
        <fgColor theme="3" tint="0.79998168889431442"/>
        <bgColor indexed="64"/>
      </patternFill>
    </fill>
    <fill>
      <patternFill patternType="solid">
        <fgColor theme="1"/>
        <bgColor indexed="64"/>
      </patternFill>
    </fill>
    <fill>
      <patternFill patternType="solid">
        <fgColor rgb="FF002060"/>
        <bgColor indexed="64"/>
      </patternFill>
    </fill>
    <fill>
      <patternFill patternType="solid">
        <fgColor theme="0" tint="-0.14999847407452621"/>
        <bgColor theme="0" tint="-0.14999847407452621"/>
      </patternFill>
    </fill>
  </fills>
  <borders count="126">
    <border>
      <left/>
      <right/>
      <top/>
      <bottom/>
      <diagonal/>
    </border>
    <border>
      <left/>
      <right/>
      <top/>
      <bottom style="thick">
        <color theme="4" tint="0.499984740745262"/>
      </bottom>
      <diagonal/>
    </border>
    <border>
      <left/>
      <right/>
      <top/>
      <bottom style="thick">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thin">
        <color indexed="64"/>
      </right>
      <top/>
      <bottom style="thin">
        <color indexed="64"/>
      </bottom>
      <diagonal/>
    </border>
    <border>
      <left style="thin">
        <color indexed="64"/>
      </left>
      <right style="thin">
        <color auto="1"/>
      </right>
      <top style="thin">
        <color auto="1"/>
      </top>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medium">
        <color indexed="64"/>
      </top>
      <bottom style="thin">
        <color auto="1"/>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tint="-4.9989318521683403E-2"/>
      </left>
      <right style="thin">
        <color theme="0" tint="-4.9989318521683403E-2"/>
      </right>
      <top/>
      <bottom style="thin">
        <color theme="0" tint="-4.9989318521683403E-2"/>
      </bottom>
      <diagonal/>
    </border>
    <border>
      <left style="thin">
        <color theme="0"/>
      </left>
      <right style="thin">
        <color theme="0"/>
      </right>
      <top/>
      <bottom style="thin">
        <color theme="0"/>
      </bottom>
      <diagonal/>
    </border>
    <border>
      <left/>
      <right style="thin">
        <color theme="0"/>
      </right>
      <top style="thick">
        <color rgb="FF004F6C"/>
      </top>
      <bottom style="thin">
        <color theme="0"/>
      </bottom>
      <diagonal/>
    </border>
    <border>
      <left style="thin">
        <color theme="0"/>
      </left>
      <right style="thin">
        <color theme="0"/>
      </right>
      <top style="thick">
        <color rgb="FF004F6C"/>
      </top>
      <bottom style="thin">
        <color theme="0"/>
      </bottom>
      <diagonal/>
    </border>
    <border>
      <left style="thin">
        <color theme="0" tint="-4.9989318521683403E-2"/>
      </left>
      <right style="thin">
        <color theme="0" tint="-4.9989318521683403E-2"/>
      </right>
      <top style="thin">
        <color theme="0" tint="-4.9989318521683403E-2"/>
      </top>
      <bottom/>
      <diagonal/>
    </border>
    <border>
      <left style="thin">
        <color theme="0"/>
      </left>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right/>
      <top style="thin">
        <color theme="1"/>
      </top>
      <bottom/>
      <diagonal/>
    </border>
    <border>
      <left style="thin">
        <color rgb="FF10A3C8"/>
      </left>
      <right/>
      <top style="thin">
        <color rgb="FF10A3C8"/>
      </top>
      <bottom style="thin">
        <color rgb="FF10A3C8"/>
      </bottom>
      <diagonal/>
    </border>
    <border>
      <left/>
      <right style="thin">
        <color rgb="FF10A3C8"/>
      </right>
      <top style="thin">
        <color rgb="FF10A3C8"/>
      </top>
      <bottom style="thin">
        <color rgb="FF10A3C8"/>
      </bottom>
      <diagonal/>
    </border>
    <border>
      <left style="thin">
        <color rgb="FF046A38"/>
      </left>
      <right style="thin">
        <color rgb="FF046A38"/>
      </right>
      <top style="thin">
        <color rgb="FF046A38"/>
      </top>
      <bottom style="thin">
        <color rgb="FF046A38"/>
      </bottom>
      <diagonal/>
    </border>
    <border>
      <left style="thin">
        <color rgb="FF046A38"/>
      </left>
      <right/>
      <top style="thin">
        <color rgb="FF046A38"/>
      </top>
      <bottom style="thin">
        <color rgb="FF046A38"/>
      </bottom>
      <diagonal/>
    </border>
    <border>
      <left/>
      <right style="thin">
        <color rgb="FF046A38"/>
      </right>
      <top style="thin">
        <color rgb="FF046A38"/>
      </top>
      <bottom style="thin">
        <color rgb="FF046A38"/>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rgb="FF005C97"/>
      </top>
      <bottom/>
      <diagonal/>
    </border>
    <border>
      <left/>
      <right/>
      <top style="medium">
        <color rgb="FF61A744"/>
      </top>
      <bottom/>
      <diagonal/>
    </border>
    <border>
      <left style="thin">
        <color rgb="FF61A744"/>
      </left>
      <right style="thin">
        <color rgb="FF61A744"/>
      </right>
      <top style="thin">
        <color rgb="FF61A744"/>
      </top>
      <bottom style="thin">
        <color rgb="FF61A744"/>
      </bottom>
      <diagonal/>
    </border>
    <border>
      <left style="thin">
        <color rgb="FF61A744"/>
      </left>
      <right style="thin">
        <color theme="0"/>
      </right>
      <top style="thin">
        <color rgb="FF61A744"/>
      </top>
      <bottom style="thin">
        <color rgb="FF61A744"/>
      </bottom>
      <diagonal/>
    </border>
    <border>
      <left style="thin">
        <color theme="0"/>
      </left>
      <right style="thin">
        <color theme="0"/>
      </right>
      <top style="thin">
        <color rgb="FF61A744"/>
      </top>
      <bottom style="thin">
        <color rgb="FF61A744"/>
      </bottom>
      <diagonal/>
    </border>
    <border>
      <left style="thin">
        <color theme="0"/>
      </left>
      <right style="thin">
        <color rgb="FF61A744"/>
      </right>
      <top style="thin">
        <color rgb="FF61A744"/>
      </top>
      <bottom style="thin">
        <color rgb="FF61A744"/>
      </bottom>
      <diagonal/>
    </border>
    <border>
      <left style="thin">
        <color rgb="FF61A744"/>
      </left>
      <right/>
      <top style="thin">
        <color rgb="FF61A744"/>
      </top>
      <bottom style="thin">
        <color rgb="FF61A744"/>
      </bottom>
      <diagonal/>
    </border>
    <border>
      <left/>
      <right style="thin">
        <color rgb="FF61A744"/>
      </right>
      <top style="thin">
        <color rgb="FF61A744"/>
      </top>
      <bottom style="thin">
        <color rgb="FF61A744"/>
      </bottom>
      <diagonal/>
    </border>
    <border>
      <left/>
      <right/>
      <top style="thin">
        <color rgb="FF61A744"/>
      </top>
      <bottom style="thin">
        <color rgb="FF61A744"/>
      </bottom>
      <diagonal/>
    </border>
    <border>
      <left style="thin">
        <color theme="0"/>
      </left>
      <right style="thin">
        <color theme="0"/>
      </right>
      <top/>
      <bottom/>
      <diagonal/>
    </border>
    <border>
      <left/>
      <right/>
      <top/>
      <bottom style="medium">
        <color rgb="FF61A744"/>
      </bottom>
      <diagonal/>
    </border>
    <border>
      <left style="thin">
        <color rgb="FF005C97"/>
      </left>
      <right style="thin">
        <color rgb="FF005C97"/>
      </right>
      <top style="thin">
        <color rgb="FF005C97"/>
      </top>
      <bottom style="thin">
        <color rgb="FF005C97"/>
      </bottom>
      <diagonal/>
    </border>
    <border>
      <left style="thin">
        <color rgb="FF005C97"/>
      </left>
      <right/>
      <top style="thin">
        <color rgb="FF005C97"/>
      </top>
      <bottom style="thin">
        <color rgb="FF005C97"/>
      </bottom>
      <diagonal/>
    </border>
    <border>
      <left/>
      <right style="thin">
        <color rgb="FF005C97"/>
      </right>
      <top style="thin">
        <color rgb="FF005C97"/>
      </top>
      <bottom style="thin">
        <color rgb="FF005C97"/>
      </bottom>
      <diagonal/>
    </border>
    <border>
      <left/>
      <right/>
      <top style="thin">
        <color rgb="FF005C97"/>
      </top>
      <bottom style="thin">
        <color rgb="FF005C97"/>
      </bottom>
      <diagonal/>
    </border>
    <border>
      <left/>
      <right/>
      <top/>
      <bottom style="medium">
        <color rgb="FF005C97"/>
      </bottom>
      <diagonal/>
    </border>
    <border>
      <left style="thin">
        <color rgb="FF61A744"/>
      </left>
      <right style="thin">
        <color theme="0"/>
      </right>
      <top style="thin">
        <color rgb="FF61A744"/>
      </top>
      <bottom/>
      <diagonal/>
    </border>
    <border>
      <left style="thin">
        <color theme="0"/>
      </left>
      <right style="thin">
        <color theme="0"/>
      </right>
      <top style="thin">
        <color rgb="FF61A744"/>
      </top>
      <bottom/>
      <diagonal/>
    </border>
    <border>
      <left style="thin">
        <color theme="0"/>
      </left>
      <right style="thin">
        <color rgb="FF61A744"/>
      </right>
      <top style="thin">
        <color rgb="FF61A744"/>
      </top>
      <bottom/>
      <diagonal/>
    </border>
    <border>
      <left style="thin">
        <color rgb="FF61A744"/>
      </left>
      <right/>
      <top style="thin">
        <color rgb="FF61A744"/>
      </top>
      <bottom/>
      <diagonal/>
    </border>
    <border>
      <left/>
      <right style="thin">
        <color rgb="FF61A744"/>
      </right>
      <top style="thin">
        <color rgb="FF61A744"/>
      </top>
      <bottom/>
      <diagonal/>
    </border>
    <border>
      <left style="thin">
        <color rgb="FF005C97"/>
      </left>
      <right style="thin">
        <color rgb="FF005C97"/>
      </right>
      <top style="thin">
        <color rgb="FF005C97"/>
      </top>
      <bottom/>
      <diagonal/>
    </border>
    <border>
      <left style="thin">
        <color rgb="FF005C97"/>
      </left>
      <right style="thin">
        <color rgb="FF005C97"/>
      </right>
      <top/>
      <bottom style="thin">
        <color rgb="FF005C97"/>
      </bottom>
      <diagonal/>
    </border>
    <border>
      <left style="thin">
        <color rgb="FF005C97"/>
      </left>
      <right style="thin">
        <color theme="0" tint="-4.9989318521683403E-2"/>
      </right>
      <top style="thin">
        <color rgb="FF005C97"/>
      </top>
      <bottom style="thin">
        <color rgb="FF005C97"/>
      </bottom>
      <diagonal/>
    </border>
    <border>
      <left style="thin">
        <color theme="0" tint="-4.9989318521683403E-2"/>
      </left>
      <right style="thin">
        <color rgb="FF005C97"/>
      </right>
      <top style="thin">
        <color rgb="FF005C97"/>
      </top>
      <bottom style="thin">
        <color rgb="FF005C97"/>
      </bottom>
      <diagonal/>
    </border>
    <border>
      <left style="thin">
        <color rgb="FF005C97"/>
      </left>
      <right/>
      <top style="thin">
        <color rgb="FF005C97"/>
      </top>
      <bottom/>
      <diagonal/>
    </border>
    <border>
      <left/>
      <right/>
      <top style="thin">
        <color rgb="FF005C97"/>
      </top>
      <bottom/>
      <diagonal/>
    </border>
    <border>
      <left/>
      <right style="thin">
        <color rgb="FF005C97"/>
      </right>
      <top style="thin">
        <color rgb="FF005C97"/>
      </top>
      <bottom/>
      <diagonal/>
    </border>
    <border>
      <left style="thin">
        <color rgb="FF005C97"/>
      </left>
      <right/>
      <top/>
      <bottom/>
      <diagonal/>
    </border>
    <border>
      <left/>
      <right style="thin">
        <color rgb="FF005C97"/>
      </right>
      <top/>
      <bottom/>
      <diagonal/>
    </border>
    <border>
      <left style="thin">
        <color rgb="FF005C97"/>
      </left>
      <right/>
      <top/>
      <bottom style="thin">
        <color rgb="FF005C97"/>
      </bottom>
      <diagonal/>
    </border>
    <border>
      <left/>
      <right/>
      <top/>
      <bottom style="thin">
        <color rgb="FF005C97"/>
      </bottom>
      <diagonal/>
    </border>
    <border>
      <left/>
      <right style="thin">
        <color rgb="FF005C97"/>
      </right>
      <top/>
      <bottom style="thin">
        <color rgb="FF005C97"/>
      </bottom>
      <diagonal/>
    </border>
    <border>
      <left/>
      <right style="thin">
        <color theme="0"/>
      </right>
      <top style="thin">
        <color theme="0"/>
      </top>
      <bottom/>
      <diagonal/>
    </border>
    <border>
      <left style="thin">
        <color rgb="FF61A744"/>
      </left>
      <right style="thin">
        <color rgb="FF61A744"/>
      </right>
      <top/>
      <bottom style="thin">
        <color rgb="FF61A744"/>
      </bottom>
      <diagonal/>
    </border>
    <border>
      <left style="thin">
        <color theme="0" tint="-4.9989318521683403E-2"/>
      </left>
      <right style="thin">
        <color theme="0" tint="-4.9989318521683403E-2"/>
      </right>
      <top/>
      <bottom/>
      <diagonal/>
    </border>
    <border>
      <left style="thin">
        <color rgb="FF005C97"/>
      </left>
      <right style="thin">
        <color rgb="FF005C97"/>
      </right>
      <top/>
      <bottom/>
      <diagonal/>
    </border>
    <border>
      <left style="thin">
        <color rgb="FF61A744"/>
      </left>
      <right style="thin">
        <color theme="0"/>
      </right>
      <top style="thin">
        <color rgb="FF61A744"/>
      </top>
      <bottom style="thin">
        <color indexed="64"/>
      </bottom>
      <diagonal/>
    </border>
    <border>
      <left style="thin">
        <color theme="0"/>
      </left>
      <right style="thin">
        <color theme="0"/>
      </right>
      <top style="thin">
        <color rgb="FF61A744"/>
      </top>
      <bottom style="thin">
        <color indexed="64"/>
      </bottom>
      <diagonal/>
    </border>
    <border>
      <left style="thin">
        <color theme="0"/>
      </left>
      <right style="thin">
        <color rgb="FF61A744"/>
      </right>
      <top style="thin">
        <color rgb="FF61A744"/>
      </top>
      <bottom style="thin">
        <color indexed="64"/>
      </bottom>
      <diagonal/>
    </border>
  </borders>
  <cellStyleXfs count="488">
    <xf numFmtId="0" fontId="0" fillId="0" borderId="0"/>
    <xf numFmtId="0" fontId="24" fillId="0" borderId="1" applyNumberFormat="0" applyFill="0" applyAlignment="0" applyProtection="0"/>
    <xf numFmtId="0" fontId="28" fillId="0" borderId="2" applyNumberFormat="0" applyFill="0" applyAlignment="0" applyProtection="0"/>
    <xf numFmtId="0" fontId="30" fillId="0" borderId="0" applyNumberFormat="0" applyFill="0" applyBorder="0" applyAlignment="0" applyProtection="0"/>
    <xf numFmtId="44" fontId="23" fillId="0" borderId="0" applyFont="0" applyFill="0" applyBorder="0" applyAlignment="0" applyProtection="0"/>
    <xf numFmtId="0" fontId="22" fillId="0" borderId="0"/>
    <xf numFmtId="43" fontId="22" fillId="0" borderId="0" applyFont="0" applyFill="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4" borderId="0" applyNumberFormat="0" applyBorder="0" applyAlignment="0" applyProtection="0"/>
    <xf numFmtId="0" fontId="37" fillId="8" borderId="0" applyNumberFormat="0" applyBorder="0" applyAlignment="0" applyProtection="0"/>
    <xf numFmtId="0" fontId="38" fillId="25" borderId="8" applyNumberFormat="0" applyAlignment="0" applyProtection="0"/>
    <xf numFmtId="0" fontId="39" fillId="26" borderId="9" applyNumberFormat="0" applyAlignment="0" applyProtection="0"/>
    <xf numFmtId="44" fontId="25" fillId="0" borderId="0" applyFont="0" applyFill="0" applyBorder="0" applyAlignment="0" applyProtection="0"/>
    <xf numFmtId="0" fontId="40" fillId="0" borderId="0" applyNumberFormat="0" applyFill="0" applyBorder="0" applyAlignment="0" applyProtection="0"/>
    <xf numFmtId="0" fontId="41" fillId="9" borderId="0" applyNumberFormat="0" applyBorder="0" applyAlignment="0" applyProtection="0"/>
    <xf numFmtId="0" fontId="42" fillId="0" borderId="10" applyNumberFormat="0" applyFill="0" applyAlignment="0" applyProtection="0"/>
    <xf numFmtId="0" fontId="43" fillId="0" borderId="11" applyNumberFormat="0" applyFill="0" applyAlignment="0" applyProtection="0"/>
    <xf numFmtId="0" fontId="44" fillId="0" borderId="12" applyNumberFormat="0" applyFill="0" applyAlignment="0" applyProtection="0"/>
    <xf numFmtId="0" fontId="44" fillId="0" borderId="0" applyNumberFormat="0" applyFill="0" applyBorder="0" applyAlignment="0" applyProtection="0"/>
    <xf numFmtId="0" fontId="45" fillId="12" borderId="8" applyNumberFormat="0" applyAlignment="0" applyProtection="0"/>
    <xf numFmtId="0" fontId="46" fillId="0" borderId="13" applyNumberFormat="0" applyFill="0" applyAlignment="0" applyProtection="0"/>
    <xf numFmtId="0" fontId="47" fillId="27" borderId="0" applyNumberFormat="0" applyBorder="0" applyAlignment="0" applyProtection="0"/>
    <xf numFmtId="0" fontId="25" fillId="0" borderId="0"/>
    <xf numFmtId="0" fontId="25" fillId="0" borderId="0"/>
    <xf numFmtId="0" fontId="25" fillId="28" borderId="14" applyNumberFormat="0" applyFont="0" applyAlignment="0" applyProtection="0"/>
    <xf numFmtId="0" fontId="25" fillId="28" borderId="14" applyNumberFormat="0" applyFont="0" applyAlignment="0" applyProtection="0"/>
    <xf numFmtId="0" fontId="25" fillId="28" borderId="14" applyNumberFormat="0" applyFont="0" applyAlignment="0" applyProtection="0"/>
    <xf numFmtId="0" fontId="25" fillId="28" borderId="14" applyNumberFormat="0" applyFont="0" applyAlignment="0" applyProtection="0"/>
    <xf numFmtId="0" fontId="48" fillId="25" borderId="15" applyNumberFormat="0" applyAlignment="0" applyProtection="0"/>
    <xf numFmtId="0" fontId="49" fillId="0" borderId="0" applyNumberFormat="0" applyFill="0" applyBorder="0" applyAlignment="0" applyProtection="0"/>
    <xf numFmtId="0" fontId="50" fillId="0" borderId="16" applyNumberFormat="0" applyFill="0" applyAlignment="0" applyProtection="0"/>
    <xf numFmtId="0" fontId="51" fillId="0" borderId="0" applyNumberFormat="0" applyFill="0" applyBorder="0" applyAlignment="0" applyProtection="0"/>
    <xf numFmtId="9" fontId="23" fillId="0" borderId="0" applyFont="0" applyFill="0" applyBorder="0" applyAlignment="0" applyProtection="0"/>
    <xf numFmtId="0" fontId="17" fillId="0" borderId="0"/>
    <xf numFmtId="0" fontId="17" fillId="0" borderId="0"/>
    <xf numFmtId="0" fontId="23" fillId="0" borderId="0"/>
    <xf numFmtId="43" fontId="23" fillId="0" borderId="0" applyFont="0" applyFill="0" applyBorder="0" applyAlignment="0" applyProtection="0"/>
    <xf numFmtId="0" fontId="23" fillId="2" borderId="0" applyNumberFormat="0" applyBorder="0" applyAlignment="0" applyProtection="0"/>
    <xf numFmtId="0" fontId="38" fillId="25" borderId="8" applyNumberFormat="0" applyAlignment="0" applyProtection="0"/>
    <xf numFmtId="0" fontId="38" fillId="25" borderId="8" applyNumberFormat="0" applyAlignment="0" applyProtection="0"/>
    <xf numFmtId="0" fontId="38" fillId="25" borderId="8" applyNumberFormat="0" applyAlignment="0" applyProtection="0"/>
    <xf numFmtId="0" fontId="38" fillId="25" borderId="8" applyNumberFormat="0" applyAlignment="0" applyProtection="0"/>
    <xf numFmtId="0" fontId="38" fillId="25" borderId="8" applyNumberFormat="0" applyAlignment="0" applyProtection="0"/>
    <xf numFmtId="0" fontId="38" fillId="25" borderId="8" applyNumberFormat="0" applyAlignment="0" applyProtection="0"/>
    <xf numFmtId="0" fontId="38" fillId="25" borderId="8" applyNumberFormat="0" applyAlignment="0" applyProtection="0"/>
    <xf numFmtId="44" fontId="23" fillId="0" borderId="0" applyFont="0" applyFill="0" applyBorder="0" applyAlignment="0" applyProtection="0"/>
    <xf numFmtId="0" fontId="28" fillId="0" borderId="2" applyNumberFormat="0" applyFill="0" applyAlignment="0" applyProtection="0"/>
    <xf numFmtId="0" fontId="24" fillId="0" borderId="1" applyNumberFormat="0" applyFill="0" applyAlignment="0" applyProtection="0"/>
    <xf numFmtId="0" fontId="45" fillId="12" borderId="8" applyNumberFormat="0" applyAlignment="0" applyProtection="0"/>
    <xf numFmtId="0" fontId="45" fillId="12" borderId="8" applyNumberFormat="0" applyAlignment="0" applyProtection="0"/>
    <xf numFmtId="0" fontId="45" fillId="12" borderId="8" applyNumberFormat="0" applyAlignment="0" applyProtection="0"/>
    <xf numFmtId="0" fontId="45" fillId="12" borderId="8" applyNumberFormat="0" applyAlignment="0" applyProtection="0"/>
    <xf numFmtId="0" fontId="45" fillId="12" borderId="8" applyNumberFormat="0" applyAlignment="0" applyProtection="0"/>
    <xf numFmtId="0" fontId="45" fillId="12" borderId="8" applyNumberFormat="0" applyAlignment="0" applyProtection="0"/>
    <xf numFmtId="0" fontId="45" fillId="12" borderId="8" applyNumberFormat="0" applyAlignment="0" applyProtection="0"/>
    <xf numFmtId="0" fontId="25" fillId="28" borderId="14" applyNumberFormat="0" applyFont="0" applyAlignment="0" applyProtection="0"/>
    <xf numFmtId="0" fontId="25" fillId="28" borderId="14" applyNumberFormat="0" applyFont="0" applyAlignment="0" applyProtection="0"/>
    <xf numFmtId="0" fontId="25" fillId="28" borderId="14" applyNumberFormat="0" applyFont="0" applyAlignment="0" applyProtection="0"/>
    <xf numFmtId="0" fontId="25" fillId="28" borderId="14" applyNumberFormat="0" applyFont="0" applyAlignment="0" applyProtection="0"/>
    <xf numFmtId="0" fontId="25" fillId="28" borderId="14" applyNumberFormat="0" applyFont="0" applyAlignment="0" applyProtection="0"/>
    <xf numFmtId="0" fontId="25" fillId="28" borderId="14" applyNumberFormat="0" applyFont="0" applyAlignment="0" applyProtection="0"/>
    <xf numFmtId="0" fontId="25" fillId="28" borderId="14" applyNumberFormat="0" applyFont="0" applyAlignment="0" applyProtection="0"/>
    <xf numFmtId="0" fontId="25" fillId="28" borderId="14" applyNumberFormat="0" applyFont="0" applyAlignment="0" applyProtection="0"/>
    <xf numFmtId="0" fontId="25" fillId="28" borderId="14" applyNumberFormat="0" applyFont="0" applyAlignment="0" applyProtection="0"/>
    <xf numFmtId="0" fontId="25" fillId="28" borderId="14" applyNumberFormat="0" applyFont="0" applyAlignment="0" applyProtection="0"/>
    <xf numFmtId="0" fontId="25" fillId="28" borderId="14" applyNumberFormat="0" applyFont="0" applyAlignment="0" applyProtection="0"/>
    <xf numFmtId="0" fontId="25" fillId="28" borderId="14" applyNumberFormat="0" applyFont="0" applyAlignment="0" applyProtection="0"/>
    <xf numFmtId="0" fontId="25" fillId="28" borderId="14" applyNumberFormat="0" applyFont="0" applyAlignment="0" applyProtection="0"/>
    <xf numFmtId="0" fontId="25" fillId="28" borderId="14" applyNumberFormat="0" applyFont="0" applyAlignment="0" applyProtection="0"/>
    <xf numFmtId="0" fontId="25" fillId="28" borderId="14" applyNumberFormat="0" applyFont="0" applyAlignment="0" applyProtection="0"/>
    <xf numFmtId="0" fontId="25" fillId="28" borderId="14" applyNumberFormat="0" applyFont="0" applyAlignment="0" applyProtection="0"/>
    <xf numFmtId="0" fontId="25" fillId="28" borderId="14" applyNumberFormat="0" applyFont="0" applyAlignment="0" applyProtection="0"/>
    <xf numFmtId="0" fontId="25" fillId="28" borderId="14" applyNumberFormat="0" applyFont="0" applyAlignment="0" applyProtection="0"/>
    <xf numFmtId="0" fontId="25" fillId="28" borderId="14" applyNumberFormat="0" applyFont="0" applyAlignment="0" applyProtection="0"/>
    <xf numFmtId="0" fontId="25" fillId="28" borderId="14" applyNumberFormat="0" applyFont="0" applyAlignment="0" applyProtection="0"/>
    <xf numFmtId="0" fontId="25" fillId="28" borderId="14" applyNumberFormat="0" applyFont="0" applyAlignment="0" applyProtection="0"/>
    <xf numFmtId="0" fontId="25" fillId="28" borderId="14" applyNumberFormat="0" applyFont="0" applyAlignment="0" applyProtection="0"/>
    <xf numFmtId="0" fontId="25" fillId="28" borderId="14" applyNumberFormat="0" applyFont="0" applyAlignment="0" applyProtection="0"/>
    <xf numFmtId="0" fontId="25" fillId="28" borderId="14" applyNumberFormat="0" applyFont="0" applyAlignment="0" applyProtection="0"/>
    <xf numFmtId="0" fontId="25" fillId="28" borderId="14" applyNumberFormat="0" applyFont="0" applyAlignment="0" applyProtection="0"/>
    <xf numFmtId="0" fontId="25" fillId="28" borderId="14" applyNumberFormat="0" applyFont="0" applyAlignment="0" applyProtection="0"/>
    <xf numFmtId="0" fontId="25" fillId="28" borderId="14" applyNumberFormat="0" applyFont="0" applyAlignment="0" applyProtection="0"/>
    <xf numFmtId="0" fontId="25" fillId="28" borderId="14" applyNumberFormat="0" applyFont="0" applyAlignment="0" applyProtection="0"/>
    <xf numFmtId="0" fontId="48" fillId="25" borderId="15" applyNumberFormat="0" applyAlignment="0" applyProtection="0"/>
    <xf numFmtId="0" fontId="48" fillId="25" borderId="15" applyNumberFormat="0" applyAlignment="0" applyProtection="0"/>
    <xf numFmtId="0" fontId="48" fillId="25" borderId="15" applyNumberFormat="0" applyAlignment="0" applyProtection="0"/>
    <xf numFmtId="0" fontId="48" fillId="25" borderId="15" applyNumberFormat="0" applyAlignment="0" applyProtection="0"/>
    <xf numFmtId="0" fontId="48" fillId="25" borderId="15" applyNumberFormat="0" applyAlignment="0" applyProtection="0"/>
    <xf numFmtId="0" fontId="48" fillId="25" borderId="15" applyNumberFormat="0" applyAlignment="0" applyProtection="0"/>
    <xf numFmtId="0" fontId="48" fillId="25" borderId="15" applyNumberFormat="0" applyAlignment="0" applyProtection="0"/>
    <xf numFmtId="0" fontId="48" fillId="25" borderId="15" applyNumberFormat="0" applyAlignment="0" applyProtection="0"/>
    <xf numFmtId="9" fontId="23" fillId="0" borderId="0" applyFont="0" applyFill="0" applyBorder="0" applyAlignment="0" applyProtection="0"/>
    <xf numFmtId="0" fontId="50" fillId="0" borderId="16"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16" fillId="0" borderId="0"/>
    <xf numFmtId="43" fontId="16" fillId="0" borderId="0" applyFont="0" applyFill="0" applyBorder="0" applyAlignment="0" applyProtection="0"/>
    <xf numFmtId="0" fontId="48" fillId="25" borderId="18" applyNumberFormat="0" applyAlignment="0" applyProtection="0"/>
    <xf numFmtId="0" fontId="50" fillId="0" borderId="19" applyNumberFormat="0" applyFill="0" applyAlignment="0" applyProtection="0"/>
    <xf numFmtId="0" fontId="16" fillId="0" borderId="0"/>
    <xf numFmtId="0" fontId="16" fillId="0" borderId="0"/>
    <xf numFmtId="0" fontId="48" fillId="25" borderId="18" applyNumberFormat="0" applyAlignment="0" applyProtection="0"/>
    <xf numFmtId="0" fontId="48" fillId="25" borderId="18" applyNumberFormat="0" applyAlignment="0" applyProtection="0"/>
    <xf numFmtId="0" fontId="48" fillId="25" borderId="18" applyNumberFormat="0" applyAlignment="0" applyProtection="0"/>
    <xf numFmtId="0" fontId="48" fillId="25" borderId="18" applyNumberFormat="0" applyAlignment="0" applyProtection="0"/>
    <xf numFmtId="0" fontId="48" fillId="25" borderId="18" applyNumberFormat="0" applyAlignment="0" applyProtection="0"/>
    <xf numFmtId="0" fontId="48" fillId="25" borderId="18" applyNumberFormat="0" applyAlignment="0" applyProtection="0"/>
    <xf numFmtId="0" fontId="48" fillId="25" borderId="18" applyNumberFormat="0" applyAlignment="0" applyProtection="0"/>
    <xf numFmtId="0" fontId="48" fillId="25" borderId="18" applyNumberFormat="0" applyAlignment="0" applyProtection="0"/>
    <xf numFmtId="0" fontId="50" fillId="0" borderId="19" applyNumberFormat="0" applyFill="0" applyAlignment="0" applyProtection="0"/>
    <xf numFmtId="0" fontId="50" fillId="0" borderId="19" applyNumberFormat="0" applyFill="0" applyAlignment="0" applyProtection="0"/>
    <xf numFmtId="0" fontId="50" fillId="0" borderId="19" applyNumberFormat="0" applyFill="0" applyAlignment="0" applyProtection="0"/>
    <xf numFmtId="0" fontId="50" fillId="0" borderId="19" applyNumberFormat="0" applyFill="0" applyAlignment="0" applyProtection="0"/>
    <xf numFmtId="0" fontId="50" fillId="0" borderId="19" applyNumberFormat="0" applyFill="0" applyAlignment="0" applyProtection="0"/>
    <xf numFmtId="0" fontId="50" fillId="0" borderId="19" applyNumberFormat="0" applyFill="0" applyAlignment="0" applyProtection="0"/>
    <xf numFmtId="0" fontId="50" fillId="0" borderId="19" applyNumberFormat="0" applyFill="0" applyAlignment="0" applyProtection="0"/>
    <xf numFmtId="0" fontId="50" fillId="0" borderId="19" applyNumberFormat="0" applyFill="0" applyAlignment="0" applyProtection="0"/>
    <xf numFmtId="0" fontId="14" fillId="0" borderId="0"/>
    <xf numFmtId="43" fontId="14" fillId="0" borderId="0" applyFont="0" applyFill="0" applyBorder="0" applyAlignment="0" applyProtection="0"/>
    <xf numFmtId="0" fontId="38" fillId="25" borderId="26" applyNumberFormat="0" applyAlignment="0" applyProtection="0"/>
    <xf numFmtId="0" fontId="45" fillId="12" borderId="26" applyNumberFormat="0" applyAlignment="0" applyProtection="0"/>
    <xf numFmtId="0" fontId="25" fillId="28" borderId="27" applyNumberFormat="0" applyFont="0" applyAlignment="0" applyProtection="0"/>
    <xf numFmtId="0" fontId="25" fillId="28" borderId="27" applyNumberFormat="0" applyFont="0" applyAlignment="0" applyProtection="0"/>
    <xf numFmtId="0" fontId="25" fillId="28" borderId="27" applyNumberFormat="0" applyFont="0" applyAlignment="0" applyProtection="0"/>
    <xf numFmtId="0" fontId="25" fillId="28" borderId="27" applyNumberFormat="0" applyFont="0" applyAlignment="0" applyProtection="0"/>
    <xf numFmtId="0" fontId="48" fillId="25" borderId="28" applyNumberFormat="0" applyAlignment="0" applyProtection="0"/>
    <xf numFmtId="0" fontId="50" fillId="0" borderId="29" applyNumberFormat="0" applyFill="0" applyAlignment="0" applyProtection="0"/>
    <xf numFmtId="0" fontId="14" fillId="0" borderId="0"/>
    <xf numFmtId="0" fontId="14" fillId="0" borderId="0"/>
    <xf numFmtId="0" fontId="38" fillId="25" borderId="26" applyNumberFormat="0" applyAlignment="0" applyProtection="0"/>
    <xf numFmtId="0" fontId="38" fillId="25" borderId="26" applyNumberFormat="0" applyAlignment="0" applyProtection="0"/>
    <xf numFmtId="0" fontId="38" fillId="25" borderId="26" applyNumberFormat="0" applyAlignment="0" applyProtection="0"/>
    <xf numFmtId="0" fontId="38" fillId="25" borderId="26" applyNumberFormat="0" applyAlignment="0" applyProtection="0"/>
    <xf numFmtId="0" fontId="38" fillId="25" borderId="26" applyNumberFormat="0" applyAlignment="0" applyProtection="0"/>
    <xf numFmtId="0" fontId="38" fillId="25" borderId="26" applyNumberFormat="0" applyAlignment="0" applyProtection="0"/>
    <xf numFmtId="0" fontId="38" fillId="25" borderId="26" applyNumberFormat="0" applyAlignment="0" applyProtection="0"/>
    <xf numFmtId="0" fontId="45" fillId="12" borderId="26" applyNumberFormat="0" applyAlignment="0" applyProtection="0"/>
    <xf numFmtId="0" fontId="45" fillId="12" borderId="26" applyNumberFormat="0" applyAlignment="0" applyProtection="0"/>
    <xf numFmtId="0" fontId="45" fillId="12" borderId="26" applyNumberFormat="0" applyAlignment="0" applyProtection="0"/>
    <xf numFmtId="0" fontId="45" fillId="12" borderId="26" applyNumberFormat="0" applyAlignment="0" applyProtection="0"/>
    <xf numFmtId="0" fontId="45" fillId="12" borderId="26" applyNumberFormat="0" applyAlignment="0" applyProtection="0"/>
    <xf numFmtId="0" fontId="45" fillId="12" borderId="26" applyNumberFormat="0" applyAlignment="0" applyProtection="0"/>
    <xf numFmtId="0" fontId="45" fillId="12" borderId="26" applyNumberFormat="0" applyAlignment="0" applyProtection="0"/>
    <xf numFmtId="0" fontId="25" fillId="28" borderId="27" applyNumberFormat="0" applyFont="0" applyAlignment="0" applyProtection="0"/>
    <xf numFmtId="0" fontId="25" fillId="28" borderId="27" applyNumberFormat="0" applyFont="0" applyAlignment="0" applyProtection="0"/>
    <xf numFmtId="0" fontId="25" fillId="28" borderId="27" applyNumberFormat="0" applyFont="0" applyAlignment="0" applyProtection="0"/>
    <xf numFmtId="0" fontId="25" fillId="28" borderId="27" applyNumberFormat="0" applyFont="0" applyAlignment="0" applyProtection="0"/>
    <xf numFmtId="0" fontId="25" fillId="28" borderId="27" applyNumberFormat="0" applyFont="0" applyAlignment="0" applyProtection="0"/>
    <xf numFmtId="0" fontId="25" fillId="28" borderId="27" applyNumberFormat="0" applyFont="0" applyAlignment="0" applyProtection="0"/>
    <xf numFmtId="0" fontId="25" fillId="28" borderId="27" applyNumberFormat="0" applyFont="0" applyAlignment="0" applyProtection="0"/>
    <xf numFmtId="0" fontId="25" fillId="28" borderId="27" applyNumberFormat="0" applyFont="0" applyAlignment="0" applyProtection="0"/>
    <xf numFmtId="0" fontId="25" fillId="28" borderId="27" applyNumberFormat="0" applyFont="0" applyAlignment="0" applyProtection="0"/>
    <xf numFmtId="0" fontId="25" fillId="28" borderId="27" applyNumberFormat="0" applyFont="0" applyAlignment="0" applyProtection="0"/>
    <xf numFmtId="0" fontId="25" fillId="28" borderId="27" applyNumberFormat="0" applyFont="0" applyAlignment="0" applyProtection="0"/>
    <xf numFmtId="0" fontId="25" fillId="28" borderId="27" applyNumberFormat="0" applyFont="0" applyAlignment="0" applyProtection="0"/>
    <xf numFmtId="0" fontId="25" fillId="28" borderId="27" applyNumberFormat="0" applyFont="0" applyAlignment="0" applyProtection="0"/>
    <xf numFmtId="0" fontId="25" fillId="28" borderId="27" applyNumberFormat="0" applyFont="0" applyAlignment="0" applyProtection="0"/>
    <xf numFmtId="0" fontId="25" fillId="28" borderId="27" applyNumberFormat="0" applyFont="0" applyAlignment="0" applyProtection="0"/>
    <xf numFmtId="0" fontId="25" fillId="28" borderId="27" applyNumberFormat="0" applyFont="0" applyAlignment="0" applyProtection="0"/>
    <xf numFmtId="0" fontId="25" fillId="28" borderId="27" applyNumberFormat="0" applyFont="0" applyAlignment="0" applyProtection="0"/>
    <xf numFmtId="0" fontId="25" fillId="28" borderId="27" applyNumberFormat="0" applyFont="0" applyAlignment="0" applyProtection="0"/>
    <xf numFmtId="0" fontId="25" fillId="28" borderId="27" applyNumberFormat="0" applyFont="0" applyAlignment="0" applyProtection="0"/>
    <xf numFmtId="0" fontId="25" fillId="28" borderId="27" applyNumberFormat="0" applyFont="0" applyAlignment="0" applyProtection="0"/>
    <xf numFmtId="0" fontId="25" fillId="28" borderId="27" applyNumberFormat="0" applyFont="0" applyAlignment="0" applyProtection="0"/>
    <xf numFmtId="0" fontId="25" fillId="28" borderId="27" applyNumberFormat="0" applyFont="0" applyAlignment="0" applyProtection="0"/>
    <xf numFmtId="0" fontId="25" fillId="28" borderId="27" applyNumberFormat="0" applyFont="0" applyAlignment="0" applyProtection="0"/>
    <xf numFmtId="0" fontId="25" fillId="28" borderId="27" applyNumberFormat="0" applyFont="0" applyAlignment="0" applyProtection="0"/>
    <xf numFmtId="0" fontId="25" fillId="28" borderId="27" applyNumberFormat="0" applyFont="0" applyAlignment="0" applyProtection="0"/>
    <xf numFmtId="0" fontId="25" fillId="28" borderId="27" applyNumberFormat="0" applyFont="0" applyAlignment="0" applyProtection="0"/>
    <xf numFmtId="0" fontId="25" fillId="28" borderId="27" applyNumberFormat="0" applyFont="0" applyAlignment="0" applyProtection="0"/>
    <xf numFmtId="0" fontId="25" fillId="28" borderId="27" applyNumberFormat="0" applyFont="0" applyAlignment="0" applyProtection="0"/>
    <xf numFmtId="0" fontId="48" fillId="25" borderId="28" applyNumberFormat="0" applyAlignment="0" applyProtection="0"/>
    <xf numFmtId="0" fontId="48" fillId="25" borderId="28" applyNumberFormat="0" applyAlignment="0" applyProtection="0"/>
    <xf numFmtId="0" fontId="48" fillId="25" borderId="28" applyNumberFormat="0" applyAlignment="0" applyProtection="0"/>
    <xf numFmtId="0" fontId="48" fillId="25" borderId="28" applyNumberFormat="0" applyAlignment="0" applyProtection="0"/>
    <xf numFmtId="0" fontId="48" fillId="25" borderId="28" applyNumberFormat="0" applyAlignment="0" applyProtection="0"/>
    <xf numFmtId="0" fontId="48" fillId="25" borderId="28" applyNumberFormat="0" applyAlignment="0" applyProtection="0"/>
    <xf numFmtId="0" fontId="48" fillId="25" borderId="28" applyNumberFormat="0" applyAlignment="0" applyProtection="0"/>
    <xf numFmtId="0" fontId="48" fillId="25" borderId="28" applyNumberFormat="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14" fillId="0" borderId="0"/>
    <xf numFmtId="43" fontId="14" fillId="0" borderId="0" applyFont="0" applyFill="0" applyBorder="0" applyAlignment="0" applyProtection="0"/>
    <xf numFmtId="0" fontId="48" fillId="25" borderId="30" applyNumberFormat="0" applyAlignment="0" applyProtection="0"/>
    <xf numFmtId="0" fontId="50" fillId="0" borderId="31" applyNumberFormat="0" applyFill="0" applyAlignment="0" applyProtection="0"/>
    <xf numFmtId="0" fontId="14" fillId="0" borderId="0"/>
    <xf numFmtId="0" fontId="14" fillId="0" borderId="0"/>
    <xf numFmtId="0" fontId="48" fillId="25" borderId="30" applyNumberFormat="0" applyAlignment="0" applyProtection="0"/>
    <xf numFmtId="0" fontId="48" fillId="25" borderId="30" applyNumberFormat="0" applyAlignment="0" applyProtection="0"/>
    <xf numFmtId="0" fontId="48" fillId="25" borderId="30" applyNumberFormat="0" applyAlignment="0" applyProtection="0"/>
    <xf numFmtId="0" fontId="48" fillId="25" borderId="30" applyNumberFormat="0" applyAlignment="0" applyProtection="0"/>
    <xf numFmtId="0" fontId="48" fillId="25" borderId="30" applyNumberFormat="0" applyAlignment="0" applyProtection="0"/>
    <xf numFmtId="0" fontId="48" fillId="25" borderId="30" applyNumberFormat="0" applyAlignment="0" applyProtection="0"/>
    <xf numFmtId="0" fontId="48" fillId="25" borderId="30" applyNumberFormat="0" applyAlignment="0" applyProtection="0"/>
    <xf numFmtId="0" fontId="48" fillId="25" borderId="30" applyNumberFormat="0" applyAlignment="0" applyProtection="0"/>
    <xf numFmtId="0" fontId="50" fillId="0" borderId="31" applyNumberFormat="0" applyFill="0" applyAlignment="0" applyProtection="0"/>
    <xf numFmtId="0" fontId="50" fillId="0" borderId="31" applyNumberFormat="0" applyFill="0" applyAlignment="0" applyProtection="0"/>
    <xf numFmtId="0" fontId="50" fillId="0" borderId="31" applyNumberFormat="0" applyFill="0" applyAlignment="0" applyProtection="0"/>
    <xf numFmtId="0" fontId="50" fillId="0" borderId="31" applyNumberFormat="0" applyFill="0" applyAlignment="0" applyProtection="0"/>
    <xf numFmtId="0" fontId="50" fillId="0" borderId="31" applyNumberFormat="0" applyFill="0" applyAlignment="0" applyProtection="0"/>
    <xf numFmtId="0" fontId="50" fillId="0" borderId="31" applyNumberFormat="0" applyFill="0" applyAlignment="0" applyProtection="0"/>
    <xf numFmtId="0" fontId="50" fillId="0" borderId="31" applyNumberFormat="0" applyFill="0" applyAlignment="0" applyProtection="0"/>
    <xf numFmtId="0" fontId="50" fillId="0" borderId="31" applyNumberFormat="0" applyFill="0" applyAlignment="0" applyProtection="0"/>
    <xf numFmtId="0" fontId="57" fillId="0" borderId="0"/>
    <xf numFmtId="0" fontId="58" fillId="0" borderId="0"/>
    <xf numFmtId="9" fontId="57" fillId="0" borderId="0" applyFont="0" applyFill="0" applyBorder="0" applyAlignment="0" applyProtection="0"/>
    <xf numFmtId="43" fontId="57" fillId="0" borderId="0" applyFont="0" applyFill="0" applyBorder="0" applyAlignment="0" applyProtection="0"/>
    <xf numFmtId="4" fontId="25" fillId="33" borderId="22" applyNumberFormat="0" applyFont="0" applyBorder="0" applyAlignment="0">
      <alignment horizontal="center"/>
      <protection locked="0"/>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7"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57" fillId="0" borderId="0" applyFont="0" applyFill="0" applyBorder="0" applyAlignment="0" applyProtection="0"/>
    <xf numFmtId="44" fontId="23" fillId="0" borderId="0" applyFont="0" applyFill="0" applyBorder="0" applyAlignment="0" applyProtection="0"/>
    <xf numFmtId="44" fontId="11" fillId="0" borderId="0" applyFont="0" applyFill="0" applyBorder="0" applyAlignment="0" applyProtection="0"/>
    <xf numFmtId="4" fontId="25" fillId="34" borderId="22" applyNumberFormat="0" applyFont="0" applyBorder="0" applyAlignment="0">
      <alignment horizontal="center"/>
      <protection locked="0"/>
    </xf>
    <xf numFmtId="0" fontId="59" fillId="0" borderId="0" applyNumberFormat="0" applyFill="0" applyBorder="0" applyAlignment="0" applyProtection="0"/>
    <xf numFmtId="4" fontId="25" fillId="0" borderId="32" applyNumberFormat="0" applyFont="0" applyBorder="0" applyAlignment="0">
      <alignment horizontal="center"/>
      <protection hidden="1"/>
    </xf>
    <xf numFmtId="0" fontId="11" fillId="0" borderId="0"/>
    <xf numFmtId="0" fontId="57" fillId="0" borderId="0"/>
    <xf numFmtId="0" fontId="25" fillId="0" borderId="0"/>
    <xf numFmtId="0" fontId="11" fillId="0" borderId="0"/>
    <xf numFmtId="0" fontId="11" fillId="0" borderId="0"/>
    <xf numFmtId="0" fontId="11" fillId="0" borderId="0"/>
    <xf numFmtId="0" fontId="11" fillId="0" borderId="0"/>
    <xf numFmtId="0" fontId="11" fillId="0" borderId="0"/>
    <xf numFmtId="0" fontId="25" fillId="0" borderId="0"/>
    <xf numFmtId="0" fontId="11" fillId="0" borderId="0"/>
    <xf numFmtId="0" fontId="11" fillId="0" borderId="0"/>
    <xf numFmtId="0" fontId="11" fillId="0" borderId="0"/>
    <xf numFmtId="0" fontId="11" fillId="0" borderId="0"/>
    <xf numFmtId="0" fontId="23" fillId="0" borderId="0"/>
    <xf numFmtId="0" fontId="58" fillId="0" borderId="0"/>
    <xf numFmtId="0" fontId="11" fillId="32" borderId="37"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9" fontId="117" fillId="0" borderId="0" applyFont="0" applyFill="0" applyBorder="0" applyAlignment="0" applyProtection="0"/>
    <xf numFmtId="0" fontId="23" fillId="0" borderId="0"/>
    <xf numFmtId="43" fontId="6" fillId="0" borderId="0" applyFont="0" applyFill="0" applyBorder="0" applyAlignment="0" applyProtection="0"/>
    <xf numFmtId="0" fontId="38" fillId="25" borderId="73" applyNumberFormat="0" applyAlignment="0" applyProtection="0"/>
    <xf numFmtId="0" fontId="38" fillId="25" borderId="73" applyNumberFormat="0" applyAlignment="0" applyProtection="0"/>
    <xf numFmtId="0" fontId="38" fillId="25" borderId="73" applyNumberFormat="0" applyAlignment="0" applyProtection="0"/>
    <xf numFmtId="0" fontId="38" fillId="25" borderId="73" applyNumberFormat="0" applyAlignment="0" applyProtection="0"/>
    <xf numFmtId="0" fontId="38" fillId="25" borderId="73" applyNumberFormat="0" applyAlignment="0" applyProtection="0"/>
    <xf numFmtId="0" fontId="38" fillId="25" borderId="73" applyNumberFormat="0" applyAlignment="0" applyProtection="0"/>
    <xf numFmtId="0" fontId="38" fillId="25" borderId="73" applyNumberFormat="0" applyAlignment="0" applyProtection="0"/>
    <xf numFmtId="0" fontId="38" fillId="25" borderId="73" applyNumberFormat="0" applyAlignment="0" applyProtection="0"/>
    <xf numFmtId="0" fontId="38" fillId="25" borderId="73" applyNumberFormat="0" applyAlignment="0" applyProtection="0"/>
    <xf numFmtId="0" fontId="38" fillId="25" borderId="73" applyNumberFormat="0" applyAlignment="0" applyProtection="0"/>
    <xf numFmtId="0" fontId="38" fillId="25" borderId="73" applyNumberFormat="0" applyAlignment="0" applyProtection="0"/>
    <xf numFmtId="0" fontId="38" fillId="25" borderId="73" applyNumberFormat="0" applyAlignment="0" applyProtection="0"/>
    <xf numFmtId="0" fontId="38" fillId="25" borderId="73" applyNumberFormat="0" applyAlignment="0" applyProtection="0"/>
    <xf numFmtId="0" fontId="38" fillId="25" borderId="73" applyNumberFormat="0" applyAlignment="0" applyProtection="0"/>
    <xf numFmtId="0" fontId="38" fillId="25" borderId="73" applyNumberFormat="0" applyAlignment="0" applyProtection="0"/>
    <xf numFmtId="0" fontId="38" fillId="25" borderId="7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 fontId="25" fillId="0" borderId="74" applyNumberFormat="0" applyFont="0" applyBorder="0" applyAlignment="0">
      <alignment horizontal="center"/>
      <protection hidden="1"/>
    </xf>
    <xf numFmtId="0" fontId="45" fillId="12" borderId="73" applyNumberFormat="0" applyAlignment="0" applyProtection="0"/>
    <xf numFmtId="0" fontId="45" fillId="12" borderId="73" applyNumberFormat="0" applyAlignment="0" applyProtection="0"/>
    <xf numFmtId="0" fontId="45" fillId="12" borderId="73" applyNumberFormat="0" applyAlignment="0" applyProtection="0"/>
    <xf numFmtId="0" fontId="45" fillId="12" borderId="73" applyNumberFormat="0" applyAlignment="0" applyProtection="0"/>
    <xf numFmtId="0" fontId="45" fillId="12" borderId="73" applyNumberFormat="0" applyAlignment="0" applyProtection="0"/>
    <xf numFmtId="0" fontId="45" fillId="12" borderId="73" applyNumberFormat="0" applyAlignment="0" applyProtection="0"/>
    <xf numFmtId="0" fontId="45" fillId="12" borderId="73" applyNumberFormat="0" applyAlignment="0" applyProtection="0"/>
    <xf numFmtId="0" fontId="45" fillId="12" borderId="73" applyNumberFormat="0" applyAlignment="0" applyProtection="0"/>
    <xf numFmtId="0" fontId="45" fillId="12" borderId="73" applyNumberFormat="0" applyAlignment="0" applyProtection="0"/>
    <xf numFmtId="0" fontId="45" fillId="12" borderId="73" applyNumberFormat="0" applyAlignment="0" applyProtection="0"/>
    <xf numFmtId="0" fontId="45" fillId="12" borderId="73" applyNumberFormat="0" applyAlignment="0" applyProtection="0"/>
    <xf numFmtId="0" fontId="45" fillId="12" borderId="73" applyNumberFormat="0" applyAlignment="0" applyProtection="0"/>
    <xf numFmtId="0" fontId="45" fillId="12" borderId="73" applyNumberFormat="0" applyAlignment="0" applyProtection="0"/>
    <xf numFmtId="0" fontId="45" fillId="12" borderId="73" applyNumberFormat="0" applyAlignment="0" applyProtection="0"/>
    <xf numFmtId="0" fontId="45" fillId="12" borderId="73" applyNumberFormat="0" applyAlignment="0" applyProtection="0"/>
    <xf numFmtId="0" fontId="45" fillId="12" borderId="7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25" fillId="28" borderId="75" applyNumberFormat="0" applyFont="0" applyAlignment="0" applyProtection="0"/>
    <xf numFmtId="0" fontId="6" fillId="32" borderId="37" applyNumberFormat="0" applyFont="0" applyAlignment="0" applyProtection="0"/>
    <xf numFmtId="0" fontId="48" fillId="25" borderId="76" applyNumberFormat="0" applyAlignment="0" applyProtection="0"/>
    <xf numFmtId="0" fontId="48" fillId="25" borderId="76" applyNumberFormat="0" applyAlignment="0" applyProtection="0"/>
    <xf numFmtId="0" fontId="48" fillId="25" borderId="76" applyNumberFormat="0" applyAlignment="0" applyProtection="0"/>
    <xf numFmtId="0" fontId="48" fillId="25" borderId="76" applyNumberFormat="0" applyAlignment="0" applyProtection="0"/>
    <xf numFmtId="0" fontId="48" fillId="25" borderId="76" applyNumberFormat="0" applyAlignment="0" applyProtection="0"/>
    <xf numFmtId="0" fontId="48" fillId="25" borderId="76" applyNumberFormat="0" applyAlignment="0" applyProtection="0"/>
    <xf numFmtId="0" fontId="48" fillId="25" borderId="76" applyNumberFormat="0" applyAlignment="0" applyProtection="0"/>
    <xf numFmtId="0" fontId="48" fillId="25" borderId="76" applyNumberFormat="0" applyAlignment="0" applyProtection="0"/>
    <xf numFmtId="0" fontId="48" fillId="25" borderId="76" applyNumberFormat="0" applyAlignment="0" applyProtection="0"/>
    <xf numFmtId="0" fontId="48" fillId="25" borderId="76" applyNumberFormat="0" applyAlignment="0" applyProtection="0"/>
    <xf numFmtId="0" fontId="48" fillId="25" borderId="76" applyNumberFormat="0" applyAlignment="0" applyProtection="0"/>
    <xf numFmtId="0" fontId="48" fillId="25" borderId="76" applyNumberFormat="0" applyAlignment="0" applyProtection="0"/>
    <xf numFmtId="0" fontId="48" fillId="25" borderId="76" applyNumberFormat="0" applyAlignment="0" applyProtection="0"/>
    <xf numFmtId="0" fontId="48" fillId="25" borderId="76" applyNumberFormat="0" applyAlignment="0" applyProtection="0"/>
    <xf numFmtId="0" fontId="48" fillId="25" borderId="76" applyNumberFormat="0" applyAlignment="0" applyProtection="0"/>
    <xf numFmtId="0" fontId="48" fillId="25" borderId="76" applyNumberFormat="0" applyAlignment="0" applyProtection="0"/>
    <xf numFmtId="0" fontId="48" fillId="25" borderId="76" applyNumberFormat="0" applyAlignment="0" applyProtection="0"/>
    <xf numFmtId="0" fontId="48" fillId="25" borderId="76" applyNumberFormat="0" applyAlignment="0" applyProtection="0"/>
    <xf numFmtId="0" fontId="48" fillId="25" borderId="76" applyNumberFormat="0" applyAlignment="0" applyProtection="0"/>
    <xf numFmtId="0" fontId="48" fillId="25" borderId="76" applyNumberFormat="0" applyAlignment="0" applyProtection="0"/>
    <xf numFmtId="0" fontId="48" fillId="25" borderId="76" applyNumberFormat="0" applyAlignment="0" applyProtection="0"/>
    <xf numFmtId="0" fontId="48" fillId="25" borderId="76" applyNumberFormat="0" applyAlignment="0" applyProtection="0"/>
    <xf numFmtId="0" fontId="48" fillId="25" borderId="76" applyNumberFormat="0" applyAlignment="0" applyProtection="0"/>
    <xf numFmtId="0" fontId="48" fillId="25" borderId="76" applyNumberFormat="0" applyAlignment="0" applyProtection="0"/>
    <xf numFmtId="0" fontId="48" fillId="25" borderId="76" applyNumberFormat="0" applyAlignment="0" applyProtection="0"/>
    <xf numFmtId="0" fontId="48" fillId="25" borderId="76" applyNumberFormat="0" applyAlignment="0" applyProtection="0"/>
    <xf numFmtId="0" fontId="48" fillId="25" borderId="76" applyNumberFormat="0" applyAlignment="0" applyProtection="0"/>
    <xf numFmtId="0" fontId="48" fillId="25" borderId="76" applyNumberFormat="0" applyAlignment="0" applyProtection="0"/>
    <xf numFmtId="0" fontId="48" fillId="25" borderId="76" applyNumberFormat="0" applyAlignment="0" applyProtection="0"/>
    <xf numFmtId="0" fontId="48" fillId="25" borderId="76" applyNumberFormat="0" applyAlignment="0" applyProtection="0"/>
    <xf numFmtId="0" fontId="48" fillId="25" borderId="76" applyNumberFormat="0" applyAlignment="0" applyProtection="0"/>
    <xf numFmtId="0" fontId="48" fillId="25" borderId="76" applyNumberFormat="0" applyAlignment="0" applyProtection="0"/>
    <xf numFmtId="0" fontId="48" fillId="25" borderId="76" applyNumberFormat="0" applyAlignment="0" applyProtection="0"/>
    <xf numFmtId="0" fontId="48" fillId="25" borderId="76" applyNumberFormat="0" applyAlignment="0" applyProtection="0"/>
    <xf numFmtId="0" fontId="48" fillId="25" borderId="76" applyNumberFormat="0" applyAlignment="0" applyProtection="0"/>
    <xf numFmtId="0" fontId="48" fillId="25" borderId="76"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0" fillId="0" borderId="77" applyNumberFormat="0" applyFill="0" applyAlignment="0" applyProtection="0"/>
    <xf numFmtId="0" fontId="50" fillId="0" borderId="77" applyNumberFormat="0" applyFill="0" applyAlignment="0" applyProtection="0"/>
    <xf numFmtId="0" fontId="50" fillId="0" borderId="77" applyNumberFormat="0" applyFill="0" applyAlignment="0" applyProtection="0"/>
    <xf numFmtId="0" fontId="50" fillId="0" borderId="77" applyNumberFormat="0" applyFill="0" applyAlignment="0" applyProtection="0"/>
    <xf numFmtId="0" fontId="50" fillId="0" borderId="77" applyNumberFormat="0" applyFill="0" applyAlignment="0" applyProtection="0"/>
    <xf numFmtId="0" fontId="50" fillId="0" borderId="77" applyNumberFormat="0" applyFill="0" applyAlignment="0" applyProtection="0"/>
    <xf numFmtId="0" fontId="50" fillId="0" borderId="77" applyNumberFormat="0" applyFill="0" applyAlignment="0" applyProtection="0"/>
    <xf numFmtId="0" fontId="50" fillId="0" borderId="77" applyNumberFormat="0" applyFill="0" applyAlignment="0" applyProtection="0"/>
    <xf numFmtId="0" fontId="50" fillId="0" borderId="77" applyNumberFormat="0" applyFill="0" applyAlignment="0" applyProtection="0"/>
    <xf numFmtId="0" fontId="50" fillId="0" borderId="77" applyNumberFormat="0" applyFill="0" applyAlignment="0" applyProtection="0"/>
    <xf numFmtId="0" fontId="50" fillId="0" borderId="77" applyNumberFormat="0" applyFill="0" applyAlignment="0" applyProtection="0"/>
    <xf numFmtId="0" fontId="50" fillId="0" borderId="77" applyNumberFormat="0" applyFill="0" applyAlignment="0" applyProtection="0"/>
    <xf numFmtId="0" fontId="50" fillId="0" borderId="77" applyNumberFormat="0" applyFill="0" applyAlignment="0" applyProtection="0"/>
    <xf numFmtId="0" fontId="50" fillId="0" borderId="77" applyNumberFormat="0" applyFill="0" applyAlignment="0" applyProtection="0"/>
    <xf numFmtId="0" fontId="50" fillId="0" borderId="77" applyNumberFormat="0" applyFill="0" applyAlignment="0" applyProtection="0"/>
    <xf numFmtId="0" fontId="50" fillId="0" borderId="77" applyNumberFormat="0" applyFill="0" applyAlignment="0" applyProtection="0"/>
    <xf numFmtId="0" fontId="50" fillId="0" borderId="77" applyNumberFormat="0" applyFill="0" applyAlignment="0" applyProtection="0"/>
    <xf numFmtId="0" fontId="50" fillId="0" borderId="77" applyNumberFormat="0" applyFill="0" applyAlignment="0" applyProtection="0"/>
    <xf numFmtId="0" fontId="50" fillId="0" borderId="77" applyNumberFormat="0" applyFill="0" applyAlignment="0" applyProtection="0"/>
    <xf numFmtId="0" fontId="50" fillId="0" borderId="77" applyNumberFormat="0" applyFill="0" applyAlignment="0" applyProtection="0"/>
    <xf numFmtId="0" fontId="50" fillId="0" borderId="77" applyNumberFormat="0" applyFill="0" applyAlignment="0" applyProtection="0"/>
    <xf numFmtId="0" fontId="50" fillId="0" borderId="77" applyNumberFormat="0" applyFill="0" applyAlignment="0" applyProtection="0"/>
    <xf numFmtId="0" fontId="50" fillId="0" borderId="77" applyNumberFormat="0" applyFill="0" applyAlignment="0" applyProtection="0"/>
    <xf numFmtId="0" fontId="50" fillId="0" borderId="77" applyNumberFormat="0" applyFill="0" applyAlignment="0" applyProtection="0"/>
    <xf numFmtId="0" fontId="50" fillId="0" borderId="77" applyNumberFormat="0" applyFill="0" applyAlignment="0" applyProtection="0"/>
    <xf numFmtId="0" fontId="50" fillId="0" borderId="77" applyNumberFormat="0" applyFill="0" applyAlignment="0" applyProtection="0"/>
    <xf numFmtId="0" fontId="50" fillId="0" borderId="77" applyNumberFormat="0" applyFill="0" applyAlignment="0" applyProtection="0"/>
    <xf numFmtId="0" fontId="50" fillId="0" borderId="77" applyNumberFormat="0" applyFill="0" applyAlignment="0" applyProtection="0"/>
    <xf numFmtId="0" fontId="50" fillId="0" borderId="77" applyNumberFormat="0" applyFill="0" applyAlignment="0" applyProtection="0"/>
    <xf numFmtId="0" fontId="50" fillId="0" borderId="77" applyNumberFormat="0" applyFill="0" applyAlignment="0" applyProtection="0"/>
    <xf numFmtId="0" fontId="50" fillId="0" borderId="77" applyNumberFormat="0" applyFill="0" applyAlignment="0" applyProtection="0"/>
    <xf numFmtId="0" fontId="50" fillId="0" borderId="77" applyNumberFormat="0" applyFill="0" applyAlignment="0" applyProtection="0"/>
    <xf numFmtId="0" fontId="50" fillId="0" borderId="77" applyNumberFormat="0" applyFill="0" applyAlignment="0" applyProtection="0"/>
    <xf numFmtId="0" fontId="50" fillId="0" borderId="77" applyNumberFormat="0" applyFill="0" applyAlignment="0" applyProtection="0"/>
    <xf numFmtId="0" fontId="50" fillId="0" borderId="77" applyNumberFormat="0" applyFill="0" applyAlignment="0" applyProtection="0"/>
    <xf numFmtId="0" fontId="50" fillId="0" borderId="77" applyNumberFormat="0" applyFill="0" applyAlignment="0" applyProtection="0"/>
  </cellStyleXfs>
  <cellXfs count="1023">
    <xf numFmtId="0" fontId="0" fillId="0" borderId="0" xfId="0"/>
    <xf numFmtId="0" fontId="25" fillId="0" borderId="0" xfId="0" applyNumberFormat="1" applyFont="1" applyAlignment="1" applyProtection="1">
      <alignment horizontal="center"/>
      <protection hidden="1"/>
    </xf>
    <xf numFmtId="0" fontId="0" fillId="0" borderId="0" xfId="0" applyProtection="1"/>
    <xf numFmtId="0" fontId="0" fillId="0" borderId="0" xfId="0" applyAlignment="1" applyProtection="1">
      <alignment horizontal="center"/>
    </xf>
    <xf numFmtId="0" fontId="22" fillId="0" borderId="0" xfId="5"/>
    <xf numFmtId="2" fontId="22" fillId="0" borderId="0" xfId="5" applyNumberFormat="1"/>
    <xf numFmtId="2" fontId="22" fillId="0" borderId="0" xfId="5" applyNumberFormat="1" applyAlignment="1">
      <alignment horizontal="center"/>
    </xf>
    <xf numFmtId="11" fontId="22" fillId="0" borderId="0" xfId="5" applyNumberFormat="1"/>
    <xf numFmtId="0" fontId="22" fillId="0" borderId="0" xfId="5" applyNumberFormat="1"/>
    <xf numFmtId="169" fontId="22" fillId="0" borderId="0" xfId="5" applyNumberFormat="1"/>
    <xf numFmtId="168" fontId="22" fillId="0" borderId="0" xfId="5" applyNumberFormat="1"/>
    <xf numFmtId="171" fontId="22" fillId="0" borderId="0" xfId="5" applyNumberFormat="1"/>
    <xf numFmtId="170" fontId="22" fillId="0" borderId="0" xfId="5" applyNumberFormat="1"/>
    <xf numFmtId="0" fontId="34" fillId="0" borderId="17" xfId="5" applyFont="1" applyBorder="1"/>
    <xf numFmtId="0" fontId="23" fillId="0" borderId="0" xfId="5" applyFont="1"/>
    <xf numFmtId="0" fontId="23" fillId="5" borderId="0" xfId="5" applyFont="1" applyFill="1"/>
    <xf numFmtId="0" fontId="23" fillId="4" borderId="0" xfId="5" applyFont="1" applyFill="1"/>
    <xf numFmtId="0" fontId="52" fillId="0" borderId="0" xfId="5" applyFont="1" applyAlignment="1">
      <alignment vertical="center"/>
    </xf>
    <xf numFmtId="0" fontId="21" fillId="0" borderId="0" xfId="5" applyFont="1"/>
    <xf numFmtId="0" fontId="0" fillId="0" borderId="0" xfId="5" applyFont="1"/>
    <xf numFmtId="0" fontId="53" fillId="0" borderId="0" xfId="5" applyFont="1" applyFill="1" applyAlignment="1">
      <alignment horizontal="left" vertical="center" indent="5"/>
    </xf>
    <xf numFmtId="0" fontId="52" fillId="0" borderId="0" xfId="5" applyFont="1" applyFill="1" applyAlignment="1">
      <alignment vertical="center"/>
    </xf>
    <xf numFmtId="0" fontId="53" fillId="0" borderId="0" xfId="5" applyFont="1" applyFill="1" applyAlignment="1">
      <alignment vertical="center" wrapText="1"/>
    </xf>
    <xf numFmtId="0" fontId="20" fillId="0" borderId="0" xfId="5" applyFont="1"/>
    <xf numFmtId="0" fontId="22" fillId="0" borderId="0" xfId="5" applyFill="1"/>
    <xf numFmtId="1" fontId="22" fillId="0" borderId="0" xfId="5" applyNumberFormat="1"/>
    <xf numFmtId="0" fontId="22" fillId="0" borderId="0" xfId="5" applyAlignment="1">
      <alignment horizontal="center"/>
    </xf>
    <xf numFmtId="0" fontId="22" fillId="0" borderId="0" xfId="5" applyFill="1" applyAlignment="1">
      <alignment horizontal="center"/>
    </xf>
    <xf numFmtId="0" fontId="19" fillId="0" borderId="0" xfId="5" applyFont="1"/>
    <xf numFmtId="0" fontId="0" fillId="0" borderId="0" xfId="5" applyFont="1" applyFill="1"/>
    <xf numFmtId="0" fontId="18" fillId="0" borderId="0" xfId="5" applyFont="1"/>
    <xf numFmtId="0" fontId="17" fillId="0" borderId="0" xfId="5" applyFont="1"/>
    <xf numFmtId="0" fontId="16" fillId="0" borderId="0" xfId="5" applyFont="1"/>
    <xf numFmtId="0" fontId="15" fillId="0" borderId="0" xfId="5" applyFont="1"/>
    <xf numFmtId="0" fontId="0" fillId="0" borderId="0" xfId="0" applyNumberFormat="1" applyProtection="1"/>
    <xf numFmtId="164" fontId="0" fillId="0" borderId="0" xfId="0" applyNumberFormat="1" applyProtection="1"/>
    <xf numFmtId="0" fontId="24" fillId="0" borderId="0" xfId="1" applyBorder="1" applyProtection="1"/>
    <xf numFmtId="0" fontId="28" fillId="0" borderId="0" xfId="2" applyBorder="1" applyAlignment="1" applyProtection="1">
      <alignment wrapText="1"/>
    </xf>
    <xf numFmtId="0" fontId="26" fillId="0" borderId="0" xfId="0" applyFont="1" applyAlignment="1" applyProtection="1">
      <alignment horizontal="center"/>
    </xf>
    <xf numFmtId="9" fontId="0" fillId="0" borderId="0" xfId="0" applyNumberFormat="1" applyProtection="1"/>
    <xf numFmtId="0" fontId="0" fillId="0" borderId="0" xfId="0" applyAlignment="1" applyProtection="1">
      <alignment horizontal="left"/>
    </xf>
    <xf numFmtId="0" fontId="0" fillId="0" borderId="0" xfId="0" applyBorder="1" applyAlignment="1" applyProtection="1">
      <alignment wrapText="1"/>
    </xf>
    <xf numFmtId="0" fontId="26" fillId="0" borderId="0" xfId="0" applyFont="1" applyAlignment="1" applyProtection="1">
      <alignment horizontal="left"/>
    </xf>
    <xf numFmtId="0" fontId="0" fillId="0" borderId="3" xfId="0" applyBorder="1"/>
    <xf numFmtId="0" fontId="31" fillId="0" borderId="4" xfId="0" applyFont="1" applyBorder="1"/>
    <xf numFmtId="0" fontId="55" fillId="31" borderId="7" xfId="5" applyNumberFormat="1" applyFont="1" applyFill="1" applyBorder="1" applyAlignment="1"/>
    <xf numFmtId="0" fontId="55" fillId="31" borderId="5" xfId="5" applyNumberFormat="1" applyFont="1" applyFill="1" applyBorder="1" applyAlignment="1"/>
    <xf numFmtId="0" fontId="31" fillId="0" borderId="22" xfId="5" applyNumberFormat="1" applyFont="1" applyFill="1" applyBorder="1" applyAlignment="1"/>
    <xf numFmtId="0" fontId="55" fillId="31" borderId="0" xfId="5" applyNumberFormat="1" applyFont="1" applyFill="1" applyBorder="1" applyAlignment="1"/>
    <xf numFmtId="0" fontId="54" fillId="0" borderId="20" xfId="5" applyNumberFormat="1" applyFont="1" applyFill="1" applyBorder="1" applyAlignment="1"/>
    <xf numFmtId="0" fontId="54" fillId="0" borderId="23" xfId="5" applyNumberFormat="1" applyFont="1" applyFill="1" applyBorder="1" applyAlignment="1"/>
    <xf numFmtId="0" fontId="0" fillId="0" borderId="20" xfId="5" applyNumberFormat="1" applyFont="1" applyFill="1" applyBorder="1" applyAlignment="1"/>
    <xf numFmtId="0" fontId="0" fillId="0" borderId="22" xfId="5" applyNumberFormat="1" applyFont="1" applyFill="1" applyBorder="1" applyAlignment="1"/>
    <xf numFmtId="0" fontId="0" fillId="0" borderId="22" xfId="5" applyNumberFormat="1" applyFont="1" applyBorder="1" applyAlignment="1"/>
    <xf numFmtId="0" fontId="0" fillId="0" borderId="24" xfId="5" applyNumberFormat="1" applyFont="1" applyBorder="1" applyAlignment="1"/>
    <xf numFmtId="0" fontId="0" fillId="0" borderId="25" xfId="5" applyNumberFormat="1" applyFont="1" applyFill="1" applyBorder="1" applyAlignment="1"/>
    <xf numFmtId="0" fontId="55" fillId="0" borderId="20" xfId="5" applyNumberFormat="1" applyFont="1" applyFill="1" applyBorder="1" applyAlignment="1"/>
    <xf numFmtId="0" fontId="13" fillId="0" borderId="0" xfId="5" applyFont="1"/>
    <xf numFmtId="0" fontId="12" fillId="0" borderId="0" xfId="5" applyFont="1"/>
    <xf numFmtId="0" fontId="31" fillId="0" borderId="34" xfId="0" applyFont="1" applyBorder="1"/>
    <xf numFmtId="0" fontId="0" fillId="0" borderId="21" xfId="5" applyNumberFormat="1" applyFont="1" applyFill="1" applyBorder="1" applyAlignment="1"/>
    <xf numFmtId="0" fontId="0" fillId="0" borderId="35" xfId="5" applyNumberFormat="1" applyFont="1" applyFill="1" applyBorder="1" applyAlignment="1"/>
    <xf numFmtId="0" fontId="0" fillId="0" borderId="32" xfId="5" applyNumberFormat="1" applyFont="1" applyFill="1" applyBorder="1" applyAlignment="1"/>
    <xf numFmtId="0" fontId="0" fillId="0" borderId="0" xfId="5" applyNumberFormat="1" applyFont="1" applyFill="1" applyBorder="1" applyAlignment="1"/>
    <xf numFmtId="0" fontId="55" fillId="0" borderId="0" xfId="5" applyNumberFormat="1" applyFont="1" applyFill="1" applyBorder="1" applyAlignment="1"/>
    <xf numFmtId="0" fontId="31" fillId="0" borderId="0" xfId="0" applyFont="1" applyFill="1" applyBorder="1"/>
    <xf numFmtId="0" fontId="22" fillId="0" borderId="0" xfId="5" applyFill="1" applyBorder="1"/>
    <xf numFmtId="0" fontId="54" fillId="0" borderId="6" xfId="5" applyNumberFormat="1" applyFont="1" applyFill="1" applyBorder="1" applyAlignment="1"/>
    <xf numFmtId="0" fontId="54" fillId="0" borderId="36" xfId="5" applyNumberFormat="1" applyFont="1" applyFill="1" applyBorder="1" applyAlignment="1"/>
    <xf numFmtId="0" fontId="0" fillId="4" borderId="0" xfId="258" applyFont="1" applyFill="1"/>
    <xf numFmtId="0" fontId="23" fillId="4" borderId="0" xfId="258" applyFont="1" applyFill="1"/>
    <xf numFmtId="0" fontId="23" fillId="35" borderId="0" xfId="258" applyFont="1" applyFill="1" applyAlignment="1"/>
    <xf numFmtId="0" fontId="25" fillId="35" borderId="0" xfId="258" applyFont="1" applyFill="1" applyAlignment="1">
      <alignment vertical="center"/>
    </xf>
    <xf numFmtId="0" fontId="53" fillId="35" borderId="0" xfId="258" applyFont="1" applyFill="1" applyAlignment="1">
      <alignment vertical="center"/>
    </xf>
    <xf numFmtId="49" fontId="25" fillId="0" borderId="20" xfId="256" applyNumberFormat="1" applyFont="1" applyBorder="1"/>
    <xf numFmtId="0" fontId="25" fillId="0" borderId="20" xfId="256" applyFont="1" applyBorder="1"/>
    <xf numFmtId="0" fontId="63" fillId="0" borderId="20" xfId="264" applyFont="1" applyFill="1" applyBorder="1" applyAlignment="1">
      <alignment horizontal="left" vertical="center"/>
    </xf>
    <xf numFmtId="0" fontId="11" fillId="0" borderId="0" xfId="264" applyFill="1" applyAlignment="1">
      <alignment horizontal="left" vertical="center"/>
    </xf>
    <xf numFmtId="0" fontId="31" fillId="0" borderId="0" xfId="264" applyFont="1" applyAlignment="1">
      <alignment horizontal="left" vertical="center"/>
    </xf>
    <xf numFmtId="0" fontId="11" fillId="0" borderId="0" xfId="264" applyAlignment="1">
      <alignment horizontal="left" vertical="center"/>
    </xf>
    <xf numFmtId="0" fontId="31" fillId="0" borderId="20" xfId="264" applyFont="1" applyBorder="1" applyAlignment="1">
      <alignment horizontal="left" vertical="center"/>
    </xf>
    <xf numFmtId="0" fontId="31" fillId="0" borderId="20" xfId="264" applyFont="1" applyFill="1" applyBorder="1" applyAlignment="1">
      <alignment horizontal="left" vertical="center"/>
    </xf>
    <xf numFmtId="0" fontId="11" fillId="0" borderId="20" xfId="264" applyFill="1" applyBorder="1" applyAlignment="1">
      <alignment horizontal="left" vertical="center"/>
    </xf>
    <xf numFmtId="0" fontId="11" fillId="37" borderId="0" xfId="264" applyFill="1" applyAlignment="1">
      <alignment horizontal="left" vertical="center"/>
    </xf>
    <xf numFmtId="0" fontId="11" fillId="0" borderId="0" xfId="264" applyFill="1" applyBorder="1" applyAlignment="1">
      <alignment horizontal="left" vertical="center"/>
    </xf>
    <xf numFmtId="3" fontId="11" fillId="0" borderId="20" xfId="264" applyNumberFormat="1" applyFill="1" applyBorder="1" applyAlignment="1">
      <alignment horizontal="left" vertical="center"/>
    </xf>
    <xf numFmtId="0" fontId="11" fillId="5" borderId="0" xfId="264" applyFill="1" applyAlignment="1">
      <alignment horizontal="left" vertical="center"/>
    </xf>
    <xf numFmtId="0" fontId="31" fillId="4" borderId="20" xfId="264" applyFont="1" applyFill="1" applyBorder="1" applyAlignment="1">
      <alignment horizontal="left" vertical="center"/>
    </xf>
    <xf numFmtId="0" fontId="11" fillId="0" borderId="20" xfId="264" applyFont="1" applyFill="1" applyBorder="1" applyAlignment="1">
      <alignment horizontal="left" vertical="center"/>
    </xf>
    <xf numFmtId="164" fontId="11" fillId="0" borderId="20" xfId="264" applyNumberFormat="1" applyFont="1" applyFill="1" applyBorder="1" applyAlignment="1">
      <alignment horizontal="left" vertical="center"/>
    </xf>
    <xf numFmtId="0" fontId="11" fillId="38" borderId="0" xfId="264" applyFill="1" applyAlignment="1">
      <alignment horizontal="left" vertical="center"/>
    </xf>
    <xf numFmtId="0" fontId="11" fillId="39" borderId="0" xfId="264" applyFill="1" applyAlignment="1">
      <alignment horizontal="left" vertical="center"/>
    </xf>
    <xf numFmtId="1" fontId="11" fillId="0" borderId="20" xfId="264" applyNumberFormat="1" applyFill="1" applyBorder="1" applyAlignment="1">
      <alignment horizontal="left" vertical="center"/>
    </xf>
    <xf numFmtId="0" fontId="11" fillId="36" borderId="0" xfId="264" applyFill="1" applyAlignment="1">
      <alignment horizontal="left" vertical="center"/>
    </xf>
    <xf numFmtId="0" fontId="11" fillId="0" borderId="20" xfId="264" applyBorder="1" applyAlignment="1">
      <alignment horizontal="left" vertical="center"/>
    </xf>
    <xf numFmtId="0" fontId="64" fillId="0" borderId="20" xfId="264" applyFont="1" applyFill="1" applyBorder="1" applyAlignment="1">
      <alignment horizontal="left" vertical="center"/>
    </xf>
    <xf numFmtId="0" fontId="67" fillId="4" borderId="20" xfId="264" applyFont="1" applyFill="1" applyBorder="1" applyAlignment="1">
      <alignment horizontal="left" vertical="center"/>
    </xf>
    <xf numFmtId="0" fontId="68" fillId="0" borderId="20" xfId="264" applyFont="1" applyFill="1" applyBorder="1" applyAlignment="1">
      <alignment horizontal="left" vertical="center"/>
    </xf>
    <xf numFmtId="0" fontId="68" fillId="0" borderId="20" xfId="264" applyFont="1" applyBorder="1" applyAlignment="1">
      <alignment horizontal="left" vertical="center"/>
    </xf>
    <xf numFmtId="0" fontId="69" fillId="0" borderId="20" xfId="264" applyFont="1" applyFill="1" applyBorder="1" applyAlignment="1">
      <alignment horizontal="left" vertical="center"/>
    </xf>
    <xf numFmtId="0" fontId="68" fillId="0" borderId="0" xfId="264" applyFont="1" applyAlignment="1">
      <alignment horizontal="left" vertical="center"/>
    </xf>
    <xf numFmtId="0" fontId="68" fillId="0" borderId="0" xfId="264" applyFont="1" applyFill="1" applyAlignment="1">
      <alignment horizontal="left" vertical="center"/>
    </xf>
    <xf numFmtId="0" fontId="68" fillId="38" borderId="0" xfId="264" applyFont="1" applyFill="1" applyAlignment="1">
      <alignment horizontal="left" vertical="center"/>
    </xf>
    <xf numFmtId="3" fontId="11" fillId="0" borderId="20" xfId="264" applyNumberFormat="1" applyBorder="1" applyAlignment="1">
      <alignment horizontal="left" vertical="center"/>
    </xf>
    <xf numFmtId="0" fontId="11" fillId="40" borderId="0" xfId="264" applyFill="1" applyAlignment="1">
      <alignment horizontal="left" vertical="center"/>
    </xf>
    <xf numFmtId="0" fontId="68" fillId="0" borderId="0" xfId="264" applyFont="1" applyFill="1" applyBorder="1" applyAlignment="1">
      <alignment horizontal="left" vertical="center"/>
    </xf>
    <xf numFmtId="0" fontId="67" fillId="0" borderId="20" xfId="264" applyFont="1" applyFill="1" applyBorder="1" applyAlignment="1">
      <alignment horizontal="left" vertical="center"/>
    </xf>
    <xf numFmtId="0" fontId="11" fillId="41" borderId="0" xfId="264" applyFill="1" applyAlignment="1">
      <alignment horizontal="left" vertical="center"/>
    </xf>
    <xf numFmtId="0" fontId="31" fillId="3" borderId="0" xfId="264" applyFont="1" applyFill="1" applyAlignment="1">
      <alignment horizontal="left" vertical="center"/>
    </xf>
    <xf numFmtId="0" fontId="11" fillId="3" borderId="0" xfId="264" applyFill="1" applyAlignment="1">
      <alignment horizontal="left" vertical="center"/>
    </xf>
    <xf numFmtId="0" fontId="70" fillId="3" borderId="0" xfId="0" applyFont="1" applyFill="1" applyAlignment="1" applyProtection="1">
      <alignment horizontal="right"/>
    </xf>
    <xf numFmtId="0" fontId="71" fillId="0" borderId="0" xfId="5" applyFont="1" applyFill="1" applyAlignment="1">
      <alignment horizontal="left" vertical="center" indent="5"/>
    </xf>
    <xf numFmtId="164" fontId="11" fillId="0" borderId="20" xfId="264" applyNumberFormat="1" applyBorder="1" applyAlignment="1">
      <alignment horizontal="left" vertical="center"/>
    </xf>
    <xf numFmtId="3" fontId="9" fillId="0" borderId="20" xfId="264" applyNumberFormat="1" applyFont="1" applyFill="1" applyBorder="1" applyAlignment="1">
      <alignment horizontal="left" vertical="center"/>
    </xf>
    <xf numFmtId="2" fontId="11" fillId="3" borderId="20" xfId="264" applyNumberFormat="1" applyFill="1" applyBorder="1" applyAlignment="1">
      <alignment horizontal="left" vertical="center"/>
    </xf>
    <xf numFmtId="0" fontId="63" fillId="0" borderId="20" xfId="270" applyFont="1" applyFill="1" applyBorder="1" applyAlignment="1">
      <alignment horizontal="left" vertical="center"/>
    </xf>
    <xf numFmtId="0" fontId="0" fillId="0" borderId="20" xfId="270" applyFont="1" applyFill="1" applyBorder="1" applyAlignment="1">
      <alignment horizontal="left" vertical="center"/>
    </xf>
    <xf numFmtId="0" fontId="10" fillId="0" borderId="20" xfId="264" applyFont="1" applyFill="1" applyBorder="1" applyAlignment="1">
      <alignment horizontal="left" vertical="center"/>
    </xf>
    <xf numFmtId="0" fontId="65" fillId="0" borderId="20" xfId="264" applyFont="1" applyFill="1" applyBorder="1" applyAlignment="1">
      <alignment horizontal="left" vertical="center"/>
    </xf>
    <xf numFmtId="0" fontId="31" fillId="0" borderId="0" xfId="264" applyFont="1" applyFill="1" applyAlignment="1">
      <alignment horizontal="left" vertical="center"/>
    </xf>
    <xf numFmtId="0" fontId="67" fillId="0" borderId="0" xfId="264" applyFont="1" applyFill="1" applyAlignment="1">
      <alignment horizontal="left" vertical="center"/>
    </xf>
    <xf numFmtId="0" fontId="11" fillId="3" borderId="5" xfId="264" applyFill="1" applyBorder="1" applyAlignment="1">
      <alignment horizontal="left" vertical="center"/>
    </xf>
    <xf numFmtId="0" fontId="70" fillId="3" borderId="38" xfId="0" applyFont="1" applyFill="1" applyBorder="1" applyAlignment="1" applyProtection="1">
      <alignment horizontal="right"/>
    </xf>
    <xf numFmtId="0" fontId="11" fillId="3" borderId="39" xfId="264" applyFill="1" applyBorder="1" applyAlignment="1">
      <alignment horizontal="left" vertical="center"/>
    </xf>
    <xf numFmtId="0" fontId="8" fillId="3" borderId="0" xfId="264" applyFont="1" applyFill="1" applyAlignment="1">
      <alignment horizontal="left" vertical="center"/>
    </xf>
    <xf numFmtId="3" fontId="11" fillId="3" borderId="20" xfId="264" applyNumberFormat="1" applyFill="1" applyBorder="1" applyAlignment="1">
      <alignment horizontal="left" vertical="center"/>
    </xf>
    <xf numFmtId="165" fontId="11" fillId="3" borderId="20" xfId="4" applyNumberFormat="1" applyFont="1" applyFill="1" applyBorder="1" applyAlignment="1">
      <alignment horizontal="left" vertical="center"/>
    </xf>
    <xf numFmtId="165" fontId="11" fillId="3" borderId="20" xfId="264" applyNumberFormat="1" applyFill="1" applyBorder="1" applyAlignment="1">
      <alignment horizontal="left" vertical="center"/>
    </xf>
    <xf numFmtId="164" fontId="11" fillId="3" borderId="20" xfId="264" applyNumberFormat="1" applyFill="1" applyBorder="1" applyAlignment="1">
      <alignment horizontal="left" vertical="center"/>
    </xf>
    <xf numFmtId="0" fontId="0" fillId="0" borderId="0" xfId="0" applyProtection="1">
      <protection locked="0"/>
    </xf>
    <xf numFmtId="0" fontId="23" fillId="0" borderId="0" xfId="5" applyFont="1" applyBorder="1" applyAlignment="1" applyProtection="1">
      <alignment vertical="center"/>
      <protection hidden="1"/>
    </xf>
    <xf numFmtId="0" fontId="73" fillId="0" borderId="0" xfId="5" applyFont="1" applyBorder="1" applyAlignment="1" applyProtection="1">
      <alignment vertical="center"/>
      <protection hidden="1"/>
    </xf>
    <xf numFmtId="0" fontId="23" fillId="0" borderId="0" xfId="5" applyFont="1" applyBorder="1" applyAlignment="1" applyProtection="1">
      <alignment horizontal="right" vertical="center"/>
      <protection hidden="1"/>
    </xf>
    <xf numFmtId="0" fontId="62" fillId="0" borderId="0" xfId="5" applyFont="1" applyFill="1" applyBorder="1" applyAlignment="1" applyProtection="1">
      <alignment horizontal="center" vertical="center"/>
      <protection hidden="1"/>
    </xf>
    <xf numFmtId="0" fontId="62" fillId="0" borderId="0" xfId="5" applyFont="1" applyFill="1" applyBorder="1" applyAlignment="1" applyProtection="1">
      <alignment vertical="center"/>
      <protection hidden="1"/>
    </xf>
    <xf numFmtId="0" fontId="23" fillId="0" borderId="0" xfId="5" applyFont="1" applyFill="1" applyBorder="1" applyAlignment="1" applyProtection="1">
      <alignment vertical="center"/>
      <protection hidden="1"/>
    </xf>
    <xf numFmtId="0" fontId="23" fillId="0" borderId="0" xfId="5" applyFont="1" applyFill="1" applyBorder="1" applyAlignment="1" applyProtection="1">
      <alignment horizontal="right" vertical="center"/>
      <protection hidden="1"/>
    </xf>
    <xf numFmtId="0" fontId="34" fillId="0" borderId="0" xfId="5" applyFont="1" applyFill="1" applyBorder="1" applyAlignment="1" applyProtection="1">
      <alignment horizontal="center" vertical="center"/>
      <protection hidden="1"/>
    </xf>
    <xf numFmtId="0" fontId="27" fillId="0" borderId="0" xfId="5" applyFont="1" applyFill="1" applyBorder="1" applyAlignment="1" applyProtection="1">
      <alignment vertical="top" wrapText="1"/>
      <protection hidden="1"/>
    </xf>
    <xf numFmtId="0" fontId="73" fillId="0" borderId="0" xfId="5" applyFont="1" applyBorder="1" applyAlignment="1" applyProtection="1">
      <alignment horizontal="center" vertical="center"/>
      <protection hidden="1"/>
    </xf>
    <xf numFmtId="0" fontId="23" fillId="0" borderId="0" xfId="5" applyFont="1" applyBorder="1" applyAlignment="1" applyProtection="1">
      <alignment horizontal="center" vertical="center"/>
      <protection hidden="1"/>
    </xf>
    <xf numFmtId="164" fontId="27" fillId="0" borderId="0" xfId="6" applyNumberFormat="1" applyFont="1" applyFill="1" applyBorder="1" applyAlignment="1" applyProtection="1">
      <alignment horizontal="right" vertical="center"/>
      <protection hidden="1"/>
    </xf>
    <xf numFmtId="3" fontId="27" fillId="0" borderId="0" xfId="6" applyNumberFormat="1" applyFont="1" applyFill="1" applyBorder="1" applyAlignment="1" applyProtection="1">
      <alignment horizontal="right" vertical="center"/>
      <protection hidden="1"/>
    </xf>
    <xf numFmtId="0" fontId="74" fillId="0" borderId="0" xfId="5" applyFont="1" applyBorder="1" applyAlignment="1" applyProtection="1">
      <alignment vertical="center" wrapText="1"/>
      <protection hidden="1"/>
    </xf>
    <xf numFmtId="0" fontId="23" fillId="0" borderId="0" xfId="5" applyFont="1" applyBorder="1" applyAlignment="1" applyProtection="1">
      <alignment vertical="center" wrapText="1"/>
      <protection hidden="1"/>
    </xf>
    <xf numFmtId="167" fontId="27" fillId="0" borderId="0" xfId="6" applyNumberFormat="1" applyFont="1" applyFill="1" applyBorder="1" applyAlignment="1" applyProtection="1">
      <alignment vertical="center" wrapText="1"/>
      <protection hidden="1"/>
    </xf>
    <xf numFmtId="167" fontId="23" fillId="0" borderId="0" xfId="54" applyNumberFormat="1" applyFont="1" applyFill="1" applyBorder="1" applyAlignment="1" applyProtection="1">
      <alignment horizontal="center" vertical="center" wrapText="1"/>
      <protection hidden="1"/>
    </xf>
    <xf numFmtId="0" fontId="23" fillId="0" borderId="0" xfId="5" applyFont="1" applyFill="1" applyBorder="1" applyAlignment="1" applyProtection="1">
      <alignment horizontal="left" vertical="center" wrapText="1"/>
      <protection hidden="1"/>
    </xf>
    <xf numFmtId="0" fontId="76" fillId="0" borderId="0" xfId="5" applyFont="1" applyBorder="1" applyAlignment="1" applyProtection="1">
      <alignment horizontal="right" vertical="center"/>
      <protection hidden="1"/>
    </xf>
    <xf numFmtId="0" fontId="73" fillId="0" borderId="0" xfId="5" applyFont="1" applyFill="1" applyBorder="1" applyAlignment="1" applyProtection="1">
      <alignment vertical="center"/>
      <protection hidden="1"/>
    </xf>
    <xf numFmtId="0" fontId="62" fillId="0" borderId="0" xfId="5" applyFont="1" applyBorder="1" applyAlignment="1" applyProtection="1">
      <alignment horizontal="right" vertical="center"/>
      <protection hidden="1"/>
    </xf>
    <xf numFmtId="0" fontId="62" fillId="0" borderId="0" xfId="5" applyFont="1" applyFill="1" applyBorder="1" applyAlignment="1" applyProtection="1">
      <alignment horizontal="right" vertical="center"/>
      <protection hidden="1"/>
    </xf>
    <xf numFmtId="0" fontId="25" fillId="0" borderId="0" xfId="5" applyFont="1" applyFill="1" applyBorder="1" applyAlignment="1" applyProtection="1">
      <alignment horizontal="center" vertical="center"/>
      <protection hidden="1"/>
    </xf>
    <xf numFmtId="0" fontId="27" fillId="0" borderId="0" xfId="5" applyFont="1" applyFill="1" applyBorder="1" applyAlignment="1" applyProtection="1">
      <alignment horizontal="right" vertical="top"/>
      <protection hidden="1"/>
    </xf>
    <xf numFmtId="173" fontId="23" fillId="0" borderId="0" xfId="5" applyNumberFormat="1" applyFont="1" applyFill="1" applyBorder="1" applyAlignment="1" applyProtection="1">
      <alignment vertical="center"/>
      <protection hidden="1"/>
    </xf>
    <xf numFmtId="166" fontId="27" fillId="0" borderId="0" xfId="4" applyNumberFormat="1" applyFont="1" applyFill="1" applyBorder="1" applyAlignment="1" applyProtection="1">
      <alignment horizontal="center" vertical="center"/>
      <protection hidden="1"/>
    </xf>
    <xf numFmtId="9" fontId="23" fillId="0" borderId="40" xfId="54" applyNumberFormat="1" applyFont="1" applyFill="1" applyBorder="1" applyAlignment="1" applyProtection="1">
      <alignment horizontal="center" vertical="center" wrapText="1"/>
      <protection hidden="1"/>
    </xf>
    <xf numFmtId="167" fontId="23" fillId="0" borderId="40" xfId="54" applyNumberFormat="1" applyFont="1" applyFill="1" applyBorder="1" applyAlignment="1" applyProtection="1">
      <alignment horizontal="center" vertical="center" wrapText="1"/>
      <protection hidden="1"/>
    </xf>
    <xf numFmtId="0" fontId="75" fillId="0" borderId="0" xfId="5" applyFont="1" applyFill="1" applyBorder="1" applyAlignment="1" applyProtection="1">
      <alignment horizontal="left" vertical="center" wrapText="1"/>
      <protection hidden="1"/>
    </xf>
    <xf numFmtId="0" fontId="27" fillId="0" borderId="40" xfId="5" applyFont="1" applyBorder="1" applyAlignment="1" applyProtection="1">
      <alignment vertical="center" wrapText="1"/>
      <protection hidden="1"/>
    </xf>
    <xf numFmtId="0" fontId="23" fillId="0" borderId="0" xfId="5" applyFont="1" applyBorder="1" applyAlignment="1" applyProtection="1">
      <alignment horizontal="left" vertical="center" wrapText="1"/>
      <protection hidden="1"/>
    </xf>
    <xf numFmtId="0" fontId="27" fillId="0" borderId="0" xfId="5" applyFont="1" applyBorder="1" applyAlignment="1" applyProtection="1">
      <alignment vertical="center" wrapText="1"/>
      <protection hidden="1"/>
    </xf>
    <xf numFmtId="0" fontId="73" fillId="0" borderId="0" xfId="5" applyFont="1" applyBorder="1" applyAlignment="1" applyProtection="1">
      <alignment horizontal="left" vertical="center"/>
      <protection hidden="1"/>
    </xf>
    <xf numFmtId="0" fontId="75" fillId="0" borderId="0" xfId="5" applyFont="1" applyBorder="1" applyAlignment="1" applyProtection="1">
      <alignment horizontal="right" vertical="center"/>
      <protection hidden="1"/>
    </xf>
    <xf numFmtId="0" fontId="0" fillId="0" borderId="0" xfId="5" applyFont="1" applyBorder="1" applyAlignment="1" applyProtection="1">
      <alignment vertical="center"/>
      <protection hidden="1"/>
    </xf>
    <xf numFmtId="0" fontId="73" fillId="0" borderId="0" xfId="5" applyFont="1" applyFill="1" applyBorder="1" applyAlignment="1" applyProtection="1">
      <alignment horizontal="right" vertical="center"/>
      <protection hidden="1"/>
    </xf>
    <xf numFmtId="0" fontId="0" fillId="0" borderId="0" xfId="5" applyFont="1" applyBorder="1" applyAlignment="1" applyProtection="1">
      <alignment horizontal="left" vertical="center"/>
      <protection hidden="1"/>
    </xf>
    <xf numFmtId="0" fontId="0" fillId="0" borderId="0" xfId="5" applyFont="1" applyFill="1" applyBorder="1" applyAlignment="1" applyProtection="1">
      <alignment horizontal="right" vertical="center"/>
      <protection hidden="1"/>
    </xf>
    <xf numFmtId="0" fontId="0" fillId="0" borderId="0" xfId="5" applyFont="1" applyFill="1" applyBorder="1" applyAlignment="1" applyProtection="1">
      <alignment vertical="center"/>
      <protection hidden="1"/>
    </xf>
    <xf numFmtId="0" fontId="82" fillId="0" borderId="0" xfId="5" applyFont="1" applyBorder="1" applyAlignment="1" applyProtection="1">
      <alignment vertical="center"/>
      <protection hidden="1"/>
    </xf>
    <xf numFmtId="0" fontId="82" fillId="0" borderId="0" xfId="5" applyFont="1" applyBorder="1" applyAlignment="1" applyProtection="1">
      <alignment horizontal="center" vertical="center"/>
      <protection hidden="1"/>
    </xf>
    <xf numFmtId="0" fontId="23" fillId="0" borderId="0" xfId="5" applyFont="1" applyFill="1" applyBorder="1" applyAlignment="1" applyProtection="1">
      <alignment horizontal="left" vertical="center"/>
      <protection hidden="1"/>
    </xf>
    <xf numFmtId="0" fontId="23" fillId="0" borderId="43" xfId="5" applyFont="1" applyFill="1" applyBorder="1" applyAlignment="1" applyProtection="1">
      <alignment vertical="center"/>
      <protection hidden="1"/>
    </xf>
    <xf numFmtId="0" fontId="27" fillId="0" borderId="0" xfId="5" applyFont="1" applyBorder="1" applyAlignment="1" applyProtection="1">
      <alignment vertical="center"/>
      <protection hidden="1"/>
    </xf>
    <xf numFmtId="0" fontId="23" fillId="0" borderId="51" xfId="5" applyFont="1" applyFill="1" applyBorder="1" applyAlignment="1" applyProtection="1">
      <alignment vertical="center"/>
      <protection hidden="1"/>
    </xf>
    <xf numFmtId="0" fontId="27" fillId="0" borderId="55" xfId="5" applyFont="1" applyBorder="1" applyAlignment="1" applyProtection="1">
      <alignment vertical="center" wrapText="1"/>
      <protection hidden="1"/>
    </xf>
    <xf numFmtId="0" fontId="29" fillId="0" borderId="0" xfId="5" applyFont="1" applyFill="1" applyBorder="1" applyAlignment="1" applyProtection="1">
      <alignment horizontal="left" vertical="center"/>
      <protection hidden="1"/>
    </xf>
    <xf numFmtId="0" fontId="62" fillId="0" borderId="0" xfId="5" applyFont="1" applyFill="1" applyBorder="1" applyAlignment="1" applyProtection="1">
      <alignment horizontal="left" vertical="center"/>
      <protection hidden="1"/>
    </xf>
    <xf numFmtId="0" fontId="27" fillId="0" borderId="0" xfId="5" applyFont="1" applyBorder="1" applyAlignment="1" applyProtection="1">
      <alignment horizontal="left" vertical="center"/>
      <protection hidden="1"/>
    </xf>
    <xf numFmtId="0" fontId="27" fillId="0" borderId="0" xfId="5" applyFont="1" applyFill="1" applyBorder="1" applyAlignment="1" applyProtection="1">
      <alignment horizontal="right" vertical="center"/>
      <protection hidden="1"/>
    </xf>
    <xf numFmtId="174" fontId="27" fillId="0" borderId="0" xfId="6" applyNumberFormat="1" applyFont="1" applyFill="1" applyBorder="1" applyAlignment="1" applyProtection="1">
      <alignment horizontal="right" vertical="center"/>
      <protection hidden="1"/>
    </xf>
    <xf numFmtId="0" fontId="74" fillId="0" borderId="0" xfId="122" applyFont="1" applyBorder="1" applyAlignment="1" applyProtection="1">
      <alignment horizontal="justify" vertical="center" wrapText="1"/>
      <protection hidden="1"/>
    </xf>
    <xf numFmtId="0" fontId="27" fillId="0" borderId="0" xfId="5" applyFont="1" applyBorder="1" applyAlignment="1" applyProtection="1">
      <alignment horizontal="right" vertical="center"/>
      <protection hidden="1"/>
    </xf>
    <xf numFmtId="0" fontId="23" fillId="0" borderId="0" xfId="0" applyFont="1" applyBorder="1" applyProtection="1">
      <protection hidden="1"/>
    </xf>
    <xf numFmtId="0" fontId="23" fillId="0" borderId="0" xfId="5" applyFont="1" applyFill="1" applyBorder="1" applyAlignment="1" applyProtection="1">
      <alignment horizontal="left" vertical="top" wrapText="1"/>
      <protection hidden="1"/>
    </xf>
    <xf numFmtId="0" fontId="27" fillId="0" borderId="0" xfId="5" applyFont="1" applyFill="1" applyBorder="1" applyAlignment="1" applyProtection="1">
      <alignment horizontal="left" vertical="top"/>
      <protection hidden="1"/>
    </xf>
    <xf numFmtId="0" fontId="27" fillId="0" borderId="0" xfId="5" applyFont="1" applyFill="1" applyBorder="1" applyAlignment="1" applyProtection="1">
      <alignment horizontal="center" vertical="center" wrapText="1"/>
      <protection hidden="1"/>
    </xf>
    <xf numFmtId="0" fontId="27" fillId="0" borderId="0" xfId="5" applyFont="1" applyFill="1" applyBorder="1" applyAlignment="1" applyProtection="1">
      <alignment horizontal="left" vertical="center" wrapText="1"/>
      <protection hidden="1"/>
    </xf>
    <xf numFmtId="0" fontId="27" fillId="0" borderId="0" xfId="5" applyFont="1" applyFill="1" applyBorder="1" applyAlignment="1" applyProtection="1">
      <alignment horizontal="left" vertical="top" wrapText="1"/>
      <protection hidden="1"/>
    </xf>
    <xf numFmtId="0" fontId="0" fillId="0" borderId="0" xfId="0" applyFont="1" applyBorder="1" applyProtection="1">
      <protection hidden="1"/>
    </xf>
    <xf numFmtId="0" fontId="27" fillId="0" borderId="0" xfId="0" applyFont="1" applyFill="1" applyBorder="1" applyAlignment="1" applyProtection="1">
      <alignment horizontal="center"/>
      <protection hidden="1"/>
    </xf>
    <xf numFmtId="0" fontId="0" fillId="0" borderId="0" xfId="0" applyFont="1" applyFill="1" applyBorder="1" applyAlignment="1" applyProtection="1">
      <alignment horizontal="center"/>
      <protection hidden="1"/>
    </xf>
    <xf numFmtId="0" fontId="27" fillId="0" borderId="0" xfId="5" applyFont="1" applyFill="1" applyBorder="1" applyAlignment="1" applyProtection="1">
      <alignment horizontal="center" vertical="center"/>
      <protection hidden="1"/>
    </xf>
    <xf numFmtId="0" fontId="27" fillId="0" borderId="0" xfId="0" applyFont="1" applyBorder="1" applyAlignment="1" applyProtection="1">
      <alignment horizontal="left" vertical="center"/>
      <protection hidden="1"/>
    </xf>
    <xf numFmtId="0" fontId="23" fillId="0" borderId="0" xfId="5" applyFont="1" applyFill="1" applyBorder="1" applyAlignment="1" applyProtection="1">
      <alignment horizontal="center" vertical="center"/>
      <protection hidden="1"/>
    </xf>
    <xf numFmtId="0" fontId="74" fillId="30" borderId="0" xfId="0" applyFont="1" applyFill="1" applyBorder="1" applyProtection="1">
      <protection hidden="1"/>
    </xf>
    <xf numFmtId="0" fontId="0" fillId="30" borderId="0" xfId="0" applyFont="1" applyFill="1" applyBorder="1" applyProtection="1">
      <protection hidden="1"/>
    </xf>
    <xf numFmtId="3" fontId="25" fillId="29" borderId="0" xfId="236" applyNumberFormat="1" applyFont="1" applyFill="1" applyBorder="1" applyAlignment="1" applyProtection="1">
      <alignment horizontal="left" vertical="center"/>
      <protection hidden="1"/>
    </xf>
    <xf numFmtId="3" fontId="62" fillId="29" borderId="40" xfId="237" applyNumberFormat="1" applyFont="1" applyFill="1" applyBorder="1" applyAlignment="1" applyProtection="1">
      <alignment horizontal="left" vertical="center" wrapText="1"/>
      <protection hidden="1"/>
    </xf>
    <xf numFmtId="3" fontId="25" fillId="29" borderId="0" xfId="236" applyNumberFormat="1" applyFont="1" applyFill="1" applyBorder="1" applyAlignment="1" applyProtection="1">
      <alignment horizontal="left" vertical="center" wrapText="1"/>
      <protection hidden="1"/>
    </xf>
    <xf numFmtId="3" fontId="62" fillId="29" borderId="44" xfId="237" applyNumberFormat="1" applyFont="1" applyFill="1" applyBorder="1" applyAlignment="1" applyProtection="1">
      <alignment horizontal="left" vertical="center" wrapText="1"/>
      <protection hidden="1"/>
    </xf>
    <xf numFmtId="3" fontId="76" fillId="29" borderId="0" xfId="238" applyNumberFormat="1" applyFont="1" applyFill="1" applyBorder="1" applyAlignment="1" applyProtection="1">
      <alignment horizontal="left" vertical="center"/>
      <protection hidden="1"/>
    </xf>
    <xf numFmtId="3" fontId="76" fillId="29" borderId="0" xfId="236" applyNumberFormat="1" applyFont="1" applyFill="1" applyBorder="1" applyAlignment="1" applyProtection="1">
      <alignment horizontal="left" vertical="center"/>
      <protection hidden="1"/>
    </xf>
    <xf numFmtId="3" fontId="87" fillId="29" borderId="0" xfId="236" applyNumberFormat="1" applyFont="1" applyFill="1" applyBorder="1" applyAlignment="1" applyProtection="1">
      <alignment horizontal="left" vertical="center"/>
      <protection hidden="1"/>
    </xf>
    <xf numFmtId="3" fontId="76" fillId="0" borderId="40" xfId="0" applyNumberFormat="1" applyFont="1" applyBorder="1" applyAlignment="1" applyProtection="1">
      <alignment horizontal="left" vertical="center" wrapText="1"/>
      <protection hidden="1"/>
    </xf>
    <xf numFmtId="3" fontId="76" fillId="0" borderId="49" xfId="0" applyNumberFormat="1" applyFont="1" applyBorder="1" applyAlignment="1" applyProtection="1">
      <alignment horizontal="left" vertical="center"/>
      <protection hidden="1"/>
    </xf>
    <xf numFmtId="3" fontId="76" fillId="0" borderId="41" xfId="0" applyNumberFormat="1" applyFont="1" applyBorder="1" applyAlignment="1" applyProtection="1">
      <alignment horizontal="left" vertical="center"/>
      <protection hidden="1"/>
    </xf>
    <xf numFmtId="3" fontId="25" fillId="29" borderId="40" xfId="0" applyNumberFormat="1" applyFont="1" applyFill="1" applyBorder="1" applyAlignment="1" applyProtection="1">
      <alignment horizontal="left" vertical="center" wrapText="1"/>
      <protection hidden="1"/>
    </xf>
    <xf numFmtId="3" fontId="25" fillId="0" borderId="41" xfId="0" applyNumberFormat="1" applyFont="1" applyBorder="1" applyAlignment="1" applyProtection="1">
      <alignment horizontal="left" vertical="center"/>
      <protection hidden="1"/>
    </xf>
    <xf numFmtId="3" fontId="25" fillId="29" borderId="0" xfId="238" applyNumberFormat="1" applyFont="1" applyFill="1" applyBorder="1" applyAlignment="1" applyProtection="1">
      <alignment horizontal="left" vertical="center"/>
      <protection hidden="1"/>
    </xf>
    <xf numFmtId="3" fontId="88" fillId="29" borderId="40" xfId="0" applyNumberFormat="1" applyFont="1" applyFill="1" applyBorder="1" applyAlignment="1" applyProtection="1">
      <alignment horizontal="left" vertical="center" wrapText="1"/>
      <protection hidden="1"/>
    </xf>
    <xf numFmtId="3" fontId="88" fillId="0" borderId="41" xfId="0" applyNumberFormat="1" applyFont="1" applyBorder="1" applyAlignment="1" applyProtection="1">
      <alignment horizontal="left" vertical="center"/>
      <protection hidden="1"/>
    </xf>
    <xf numFmtId="3" fontId="88" fillId="29" borderId="0" xfId="238" applyNumberFormat="1" applyFont="1" applyFill="1" applyBorder="1" applyAlignment="1" applyProtection="1">
      <alignment horizontal="left" vertical="center"/>
      <protection hidden="1"/>
    </xf>
    <xf numFmtId="3" fontId="88" fillId="29" borderId="0" xfId="236" applyNumberFormat="1" applyFont="1" applyFill="1" applyBorder="1" applyAlignment="1" applyProtection="1">
      <alignment horizontal="left" vertical="center"/>
      <protection hidden="1"/>
    </xf>
    <xf numFmtId="3" fontId="76" fillId="29" borderId="40" xfId="0" applyNumberFormat="1" applyFont="1" applyFill="1" applyBorder="1" applyAlignment="1" applyProtection="1">
      <alignment horizontal="left" vertical="center" wrapText="1"/>
      <protection hidden="1"/>
    </xf>
    <xf numFmtId="3" fontId="88" fillId="29" borderId="59" xfId="0" applyNumberFormat="1" applyFont="1" applyFill="1" applyBorder="1" applyAlignment="1" applyProtection="1">
      <alignment horizontal="left" vertical="center" wrapText="1"/>
      <protection hidden="1"/>
    </xf>
    <xf numFmtId="3" fontId="88" fillId="0" borderId="44" xfId="0" applyNumberFormat="1" applyFont="1" applyBorder="1" applyAlignment="1" applyProtection="1">
      <alignment horizontal="left" vertical="center"/>
      <protection hidden="1"/>
    </xf>
    <xf numFmtId="3" fontId="76" fillId="0" borderId="40" xfId="0" applyNumberFormat="1" applyFont="1" applyFill="1" applyBorder="1" applyAlignment="1" applyProtection="1">
      <alignment horizontal="left" vertical="center" wrapText="1"/>
      <protection hidden="1"/>
    </xf>
    <xf numFmtId="3" fontId="76" fillId="0" borderId="41" xfId="0" applyNumberFormat="1" applyFont="1" applyFill="1" applyBorder="1" applyAlignment="1" applyProtection="1">
      <alignment horizontal="left" vertical="center"/>
      <protection hidden="1"/>
    </xf>
    <xf numFmtId="3" fontId="88" fillId="0" borderId="40" xfId="0" applyNumberFormat="1" applyFont="1" applyFill="1" applyBorder="1" applyAlignment="1" applyProtection="1">
      <alignment horizontal="left" vertical="center" wrapText="1"/>
      <protection hidden="1"/>
    </xf>
    <xf numFmtId="3" fontId="88" fillId="0" borderId="41" xfId="0" applyNumberFormat="1" applyFont="1" applyFill="1" applyBorder="1" applyAlignment="1" applyProtection="1">
      <alignment horizontal="left" vertical="center"/>
      <protection hidden="1"/>
    </xf>
    <xf numFmtId="3" fontId="25" fillId="29" borderId="40" xfId="236" applyNumberFormat="1" applyFont="1" applyFill="1" applyBorder="1" applyAlignment="1" applyProtection="1">
      <alignment horizontal="left" vertical="center" wrapText="1"/>
      <protection hidden="1"/>
    </xf>
    <xf numFmtId="3" fontId="25" fillId="29" borderId="41" xfId="239" applyNumberFormat="1" applyFont="1" applyFill="1" applyBorder="1" applyAlignment="1" applyProtection="1">
      <alignment horizontal="left" vertical="center" wrapText="1"/>
      <protection hidden="1"/>
    </xf>
    <xf numFmtId="3" fontId="23" fillId="29" borderId="0" xfId="238" applyNumberFormat="1" applyFont="1" applyFill="1" applyBorder="1" applyAlignment="1" applyProtection="1">
      <alignment horizontal="left" vertical="center"/>
      <protection hidden="1"/>
    </xf>
    <xf numFmtId="3" fontId="25" fillId="29" borderId="49" xfId="239" applyNumberFormat="1" applyFont="1" applyFill="1" applyBorder="1" applyAlignment="1" applyProtection="1">
      <alignment horizontal="left" vertical="center" wrapText="1"/>
      <protection hidden="1"/>
    </xf>
    <xf numFmtId="3" fontId="62" fillId="0" borderId="40" xfId="236" applyNumberFormat="1" applyFont="1" applyFill="1" applyBorder="1" applyAlignment="1" applyProtection="1">
      <alignment horizontal="left" vertical="center" wrapText="1"/>
      <protection hidden="1"/>
    </xf>
    <xf numFmtId="3" fontId="62" fillId="0" borderId="41" xfId="239" applyNumberFormat="1" applyFont="1" applyFill="1" applyBorder="1" applyAlignment="1" applyProtection="1">
      <alignment horizontal="left" vertical="center" wrapText="1"/>
      <protection hidden="1"/>
    </xf>
    <xf numFmtId="3" fontId="25" fillId="29" borderId="55" xfId="236" applyNumberFormat="1" applyFont="1" applyFill="1" applyBorder="1" applyAlignment="1" applyProtection="1">
      <alignment horizontal="left" vertical="center" wrapText="1"/>
      <protection hidden="1"/>
    </xf>
    <xf numFmtId="3" fontId="62" fillId="29" borderId="0" xfId="236" applyNumberFormat="1" applyFont="1" applyFill="1" applyBorder="1" applyAlignment="1" applyProtection="1">
      <alignment horizontal="left" vertical="center" wrapText="1"/>
      <protection hidden="1"/>
    </xf>
    <xf numFmtId="3" fontId="25" fillId="29" borderId="0" xfId="1" applyNumberFormat="1" applyFont="1" applyFill="1" applyBorder="1" applyAlignment="1" applyProtection="1">
      <alignment horizontal="right" vertical="center"/>
      <protection hidden="1"/>
    </xf>
    <xf numFmtId="3" fontId="23" fillId="29" borderId="0" xfId="0" applyNumberFormat="1" applyFont="1" applyFill="1" applyBorder="1" applyAlignment="1" applyProtection="1">
      <alignment horizontal="right" vertical="center"/>
      <protection hidden="1"/>
    </xf>
    <xf numFmtId="3" fontId="23" fillId="29" borderId="0" xfId="0" applyNumberFormat="1" applyFont="1" applyFill="1" applyBorder="1" applyAlignment="1" applyProtection="1">
      <alignment vertical="center"/>
      <protection hidden="1"/>
    </xf>
    <xf numFmtId="3" fontId="23" fillId="29" borderId="0" xfId="0" applyNumberFormat="1" applyFont="1" applyFill="1" applyBorder="1" applyAlignment="1" applyProtection="1">
      <alignment horizontal="left" vertical="center" wrapText="1"/>
      <protection hidden="1"/>
    </xf>
    <xf numFmtId="3" fontId="62" fillId="29" borderId="0" xfId="236" applyNumberFormat="1" applyFont="1" applyFill="1" applyBorder="1" applyAlignment="1" applyProtection="1">
      <alignment horizontal="left" vertical="center"/>
      <protection hidden="1"/>
    </xf>
    <xf numFmtId="3" fontId="62" fillId="29" borderId="0" xfId="236" applyNumberFormat="1" applyFont="1" applyFill="1" applyBorder="1" applyAlignment="1" applyProtection="1">
      <alignment vertical="center"/>
      <protection hidden="1"/>
    </xf>
    <xf numFmtId="3" fontId="62" fillId="29" borderId="0" xfId="236" applyNumberFormat="1" applyFont="1" applyFill="1" applyBorder="1" applyAlignment="1" applyProtection="1">
      <alignment horizontal="center" vertical="center"/>
      <protection hidden="1"/>
    </xf>
    <xf numFmtId="0" fontId="25" fillId="29" borderId="0" xfId="256" applyFont="1" applyFill="1" applyBorder="1" applyAlignment="1" applyProtection="1">
      <alignment vertical="center"/>
      <protection hidden="1"/>
    </xf>
    <xf numFmtId="0" fontId="84" fillId="29" borderId="0" xfId="256" applyFont="1" applyFill="1" applyBorder="1" applyAlignment="1" applyProtection="1">
      <alignment horizontal="left" vertical="center" wrapText="1"/>
      <protection hidden="1"/>
    </xf>
    <xf numFmtId="0" fontId="85" fillId="29" borderId="0" xfId="256" applyFont="1" applyFill="1" applyBorder="1" applyAlignment="1" applyProtection="1">
      <alignment vertical="center"/>
      <protection hidden="1"/>
    </xf>
    <xf numFmtId="0" fontId="62" fillId="29" borderId="0" xfId="256" applyFont="1" applyFill="1" applyBorder="1" applyAlignment="1" applyProtection="1">
      <alignment horizontal="center" vertical="center"/>
      <protection hidden="1"/>
    </xf>
    <xf numFmtId="0" fontId="62" fillId="29" borderId="0" xfId="256" applyFont="1" applyFill="1" applyBorder="1" applyAlignment="1" applyProtection="1">
      <alignment horizontal="right" vertical="center"/>
      <protection hidden="1"/>
    </xf>
    <xf numFmtId="0" fontId="62" fillId="29" borderId="42" xfId="256" applyFont="1" applyFill="1" applyBorder="1" applyAlignment="1" applyProtection="1">
      <alignment vertical="center"/>
      <protection hidden="1"/>
    </xf>
    <xf numFmtId="0" fontId="62" fillId="29" borderId="42" xfId="256" applyFont="1" applyFill="1" applyBorder="1" applyAlignment="1" applyProtection="1">
      <alignment horizontal="right" vertical="center"/>
      <protection hidden="1"/>
    </xf>
    <xf numFmtId="0" fontId="25" fillId="29" borderId="42" xfId="256" applyFont="1" applyFill="1" applyBorder="1" applyAlignment="1" applyProtection="1">
      <alignment horizontal="left" vertical="center"/>
      <protection hidden="1"/>
    </xf>
    <xf numFmtId="3" fontId="62" fillId="29" borderId="42" xfId="256" applyNumberFormat="1" applyFont="1" applyFill="1" applyBorder="1" applyAlignment="1" applyProtection="1">
      <alignment horizontal="right" vertical="center"/>
      <protection hidden="1"/>
    </xf>
    <xf numFmtId="3" fontId="25" fillId="29" borderId="42" xfId="256" applyNumberFormat="1" applyFont="1" applyFill="1" applyBorder="1" applyAlignment="1" applyProtection="1">
      <alignment horizontal="center" vertical="center"/>
      <protection hidden="1"/>
    </xf>
    <xf numFmtId="3" fontId="25" fillId="29" borderId="0" xfId="256" applyNumberFormat="1" applyFont="1" applyFill="1" applyBorder="1" applyAlignment="1" applyProtection="1">
      <alignment horizontal="center" vertical="center"/>
      <protection hidden="1"/>
    </xf>
    <xf numFmtId="3" fontId="25" fillId="29" borderId="0" xfId="256" applyNumberFormat="1" applyFont="1" applyFill="1" applyBorder="1" applyAlignment="1" applyProtection="1">
      <alignment horizontal="left" vertical="center"/>
      <protection hidden="1"/>
    </xf>
    <xf numFmtId="3" fontId="25" fillId="29" borderId="0" xfId="256" applyNumberFormat="1" applyFont="1" applyFill="1" applyBorder="1" applyAlignment="1" applyProtection="1">
      <alignment horizontal="right" vertical="center"/>
      <protection hidden="1"/>
    </xf>
    <xf numFmtId="0" fontId="95" fillId="0" borderId="40" xfId="5" applyFont="1" applyBorder="1" applyAlignment="1" applyProtection="1">
      <alignment horizontal="left" vertical="center"/>
      <protection hidden="1"/>
    </xf>
    <xf numFmtId="3" fontId="25" fillId="29" borderId="40" xfId="256" applyNumberFormat="1" applyFont="1" applyFill="1" applyBorder="1" applyAlignment="1" applyProtection="1">
      <alignment horizontal="center" vertical="center"/>
      <protection hidden="1"/>
    </xf>
    <xf numFmtId="3" fontId="25" fillId="29" borderId="40" xfId="256" applyNumberFormat="1" applyFont="1" applyFill="1" applyBorder="1" applyAlignment="1" applyProtection="1">
      <alignment horizontal="left" vertical="center"/>
      <protection hidden="1"/>
    </xf>
    <xf numFmtId="3" fontId="25" fillId="29" borderId="40" xfId="256" applyNumberFormat="1" applyFont="1" applyFill="1" applyBorder="1" applyAlignment="1" applyProtection="1">
      <alignment horizontal="right" vertical="center"/>
      <protection hidden="1"/>
    </xf>
    <xf numFmtId="0" fontId="25" fillId="29" borderId="40" xfId="256" applyFont="1" applyFill="1" applyBorder="1" applyAlignment="1" applyProtection="1">
      <alignment vertical="center"/>
      <protection hidden="1"/>
    </xf>
    <xf numFmtId="0" fontId="25" fillId="29" borderId="41" xfId="256" applyFont="1" applyFill="1" applyBorder="1" applyAlignment="1" applyProtection="1">
      <alignment vertical="center"/>
      <protection hidden="1"/>
    </xf>
    <xf numFmtId="0" fontId="25" fillId="29" borderId="43" xfId="256" applyFont="1" applyFill="1" applyBorder="1" applyAlignment="1" applyProtection="1">
      <alignment vertical="center"/>
      <protection hidden="1"/>
    </xf>
    <xf numFmtId="3" fontId="71" fillId="29" borderId="41" xfId="256" applyNumberFormat="1" applyFont="1" applyFill="1" applyBorder="1" applyAlignment="1" applyProtection="1">
      <alignment vertical="center"/>
      <protection hidden="1"/>
    </xf>
    <xf numFmtId="3" fontId="71" fillId="29" borderId="43" xfId="256" applyNumberFormat="1" applyFont="1" applyFill="1" applyBorder="1" applyAlignment="1" applyProtection="1">
      <alignment vertical="center"/>
      <protection hidden="1"/>
    </xf>
    <xf numFmtId="0" fontId="88" fillId="29" borderId="41" xfId="256" applyFont="1" applyFill="1" applyBorder="1" applyAlignment="1" applyProtection="1">
      <alignment vertical="center"/>
      <protection hidden="1"/>
    </xf>
    <xf numFmtId="3" fontId="86" fillId="29" borderId="42" xfId="256" applyNumberFormat="1" applyFont="1" applyFill="1" applyBorder="1" applyAlignment="1" applyProtection="1">
      <alignment horizontal="right" vertical="center"/>
      <protection hidden="1"/>
    </xf>
    <xf numFmtId="3" fontId="86" fillId="29" borderId="42" xfId="256" applyNumberFormat="1" applyFont="1" applyFill="1" applyBorder="1" applyAlignment="1" applyProtection="1">
      <alignment vertical="center"/>
      <protection hidden="1"/>
    </xf>
    <xf numFmtId="0" fontId="88" fillId="29" borderId="43" xfId="256" applyFont="1" applyFill="1" applyBorder="1" applyAlignment="1" applyProtection="1">
      <alignment vertical="center"/>
      <protection hidden="1"/>
    </xf>
    <xf numFmtId="0" fontId="92" fillId="29" borderId="0" xfId="256" applyFont="1" applyFill="1" applyBorder="1" applyAlignment="1" applyProtection="1">
      <alignment vertical="center"/>
      <protection hidden="1"/>
    </xf>
    <xf numFmtId="0" fontId="25" fillId="29" borderId="0" xfId="256" applyFont="1" applyFill="1" applyBorder="1" applyAlignment="1" applyProtection="1">
      <alignment horizontal="center" vertical="center"/>
      <protection hidden="1"/>
    </xf>
    <xf numFmtId="1" fontId="60" fillId="29" borderId="0" xfId="256" applyNumberFormat="1" applyFont="1" applyFill="1" applyBorder="1" applyAlignment="1" applyProtection="1">
      <alignment horizontal="center" vertical="center"/>
      <protection hidden="1"/>
    </xf>
    <xf numFmtId="1" fontId="25" fillId="29" borderId="0" xfId="256" applyNumberFormat="1" applyFont="1" applyFill="1" applyBorder="1" applyAlignment="1" applyProtection="1">
      <alignment vertical="center"/>
      <protection hidden="1"/>
    </xf>
    <xf numFmtId="3" fontId="76" fillId="29" borderId="40" xfId="239" applyNumberFormat="1" applyFont="1" applyFill="1" applyBorder="1" applyAlignment="1" applyProtection="1">
      <alignment horizontal="center" vertical="center"/>
      <protection hidden="1"/>
    </xf>
    <xf numFmtId="164" fontId="25" fillId="29" borderId="40" xfId="249" applyNumberFormat="1" applyFont="1" applyFill="1" applyBorder="1" applyAlignment="1" applyProtection="1">
      <alignment horizontal="center" vertical="center"/>
      <protection hidden="1"/>
    </xf>
    <xf numFmtId="164" fontId="88" fillId="29" borderId="40" xfId="239" applyNumberFormat="1" applyFont="1" applyFill="1" applyBorder="1" applyAlignment="1" applyProtection="1">
      <alignment horizontal="center" vertical="center"/>
      <protection hidden="1"/>
    </xf>
    <xf numFmtId="164" fontId="25" fillId="29" borderId="40" xfId="249" applyNumberFormat="1" applyFont="1" applyFill="1" applyBorder="1" applyAlignment="1" applyProtection="1">
      <alignment vertical="center"/>
      <protection hidden="1"/>
    </xf>
    <xf numFmtId="1" fontId="25" fillId="29" borderId="40" xfId="249" applyNumberFormat="1" applyFont="1" applyFill="1" applyBorder="1" applyAlignment="1" applyProtection="1">
      <alignment vertical="center"/>
      <protection hidden="1"/>
    </xf>
    <xf numFmtId="0" fontId="62" fillId="29" borderId="40" xfId="256" applyFont="1" applyFill="1" applyBorder="1" applyAlignment="1" applyProtection="1">
      <alignment vertical="center"/>
      <protection hidden="1"/>
    </xf>
    <xf numFmtId="1" fontId="61" fillId="29" borderId="0" xfId="256" applyNumberFormat="1" applyFont="1" applyFill="1" applyBorder="1" applyAlignment="1" applyProtection="1">
      <alignment horizontal="center" vertical="center"/>
      <protection hidden="1"/>
    </xf>
    <xf numFmtId="0" fontId="62" fillId="29" borderId="0" xfId="256" applyFont="1" applyFill="1" applyBorder="1" applyAlignment="1" applyProtection="1">
      <alignment vertical="center"/>
      <protection hidden="1"/>
    </xf>
    <xf numFmtId="0" fontId="93" fillId="29" borderId="0" xfId="269" applyFont="1" applyFill="1" applyBorder="1" applyAlignment="1" applyProtection="1">
      <alignment horizontal="left" vertical="center"/>
      <protection hidden="1"/>
    </xf>
    <xf numFmtId="0" fontId="89" fillId="29" borderId="0" xfId="269" applyFont="1" applyFill="1" applyBorder="1" applyAlignment="1" applyProtection="1">
      <alignment horizontal="left" vertical="center"/>
      <protection hidden="1"/>
    </xf>
    <xf numFmtId="0" fontId="90" fillId="29" borderId="0" xfId="269" applyFont="1" applyFill="1" applyBorder="1" applyAlignment="1" applyProtection="1">
      <alignment horizontal="left" vertical="center" wrapText="1"/>
      <protection hidden="1"/>
    </xf>
    <xf numFmtId="0" fontId="90" fillId="29" borderId="0" xfId="269" applyFont="1" applyFill="1" applyBorder="1" applyAlignment="1" applyProtection="1">
      <alignment vertical="center" wrapText="1"/>
      <protection hidden="1"/>
    </xf>
    <xf numFmtId="0" fontId="0" fillId="0" borderId="66" xfId="5" applyNumberFormat="1" applyFont="1" applyBorder="1" applyAlignment="1"/>
    <xf numFmtId="0" fontId="97" fillId="0" borderId="0" xfId="275" applyFont="1"/>
    <xf numFmtId="0" fontId="97" fillId="43" borderId="0" xfId="275" applyFont="1" applyFill="1" applyBorder="1"/>
    <xf numFmtId="0" fontId="98" fillId="44" borderId="0" xfId="275" applyFont="1" applyFill="1" applyBorder="1" applyAlignment="1" applyProtection="1">
      <alignment horizontal="right" vertical="center"/>
      <protection hidden="1"/>
    </xf>
    <xf numFmtId="0" fontId="99" fillId="44" borderId="0" xfId="275" applyFont="1" applyFill="1" applyBorder="1" applyAlignment="1" applyProtection="1">
      <alignment vertical="center"/>
      <protection locked="0"/>
    </xf>
    <xf numFmtId="0" fontId="97" fillId="44" borderId="0" xfId="275" applyFont="1" applyFill="1" applyBorder="1"/>
    <xf numFmtId="0" fontId="99" fillId="44" borderId="0" xfId="275" applyFont="1" applyFill="1" applyBorder="1" applyAlignment="1" applyProtection="1">
      <alignment horizontal="left" vertical="center"/>
      <protection hidden="1"/>
    </xf>
    <xf numFmtId="0" fontId="100" fillId="44" borderId="0" xfId="275" applyFont="1" applyFill="1" applyBorder="1" applyProtection="1">
      <protection hidden="1"/>
    </xf>
    <xf numFmtId="0" fontId="100" fillId="44" borderId="0" xfId="275" applyFont="1" applyFill="1" applyBorder="1" applyAlignment="1" applyProtection="1">
      <alignment horizontal="right" vertical="center"/>
      <protection hidden="1"/>
    </xf>
    <xf numFmtId="172" fontId="99" fillId="44" borderId="0" xfId="275" applyNumberFormat="1" applyFont="1" applyFill="1" applyBorder="1" applyAlignment="1" applyProtection="1">
      <alignment horizontal="left" vertical="center"/>
      <protection hidden="1"/>
    </xf>
    <xf numFmtId="172" fontId="100" fillId="44" borderId="0" xfId="275" applyNumberFormat="1" applyFont="1" applyFill="1" applyBorder="1" applyAlignment="1" applyProtection="1">
      <alignment horizontal="left" vertical="center"/>
      <protection hidden="1"/>
    </xf>
    <xf numFmtId="0" fontId="97" fillId="44" borderId="0" xfId="275" applyFont="1" applyFill="1" applyBorder="1" applyProtection="1">
      <protection hidden="1"/>
    </xf>
    <xf numFmtId="172" fontId="97" fillId="44" borderId="0" xfId="275" applyNumberFormat="1" applyFont="1" applyFill="1" applyBorder="1" applyAlignment="1" applyProtection="1">
      <alignment horizontal="left" vertical="center"/>
      <protection hidden="1"/>
    </xf>
    <xf numFmtId="0" fontId="100" fillId="44" borderId="0" xfId="275" applyFont="1" applyFill="1" applyBorder="1" applyAlignment="1" applyProtection="1">
      <alignment horizontal="left" vertical="center"/>
      <protection locked="0"/>
    </xf>
    <xf numFmtId="0" fontId="97" fillId="44" borderId="0" xfId="275" applyFont="1" applyFill="1" applyBorder="1" applyAlignment="1" applyProtection="1">
      <alignment horizontal="left" vertical="center"/>
      <protection hidden="1"/>
    </xf>
    <xf numFmtId="0" fontId="98" fillId="0" borderId="0" xfId="275" applyFont="1" applyFill="1" applyBorder="1" applyAlignment="1" applyProtection="1">
      <alignment horizontal="right" vertical="center"/>
      <protection hidden="1"/>
    </xf>
    <xf numFmtId="0" fontId="100" fillId="0" borderId="0" xfId="275" applyFont="1" applyFill="1" applyBorder="1" applyAlignment="1" applyProtection="1">
      <alignment horizontal="left" vertical="center"/>
      <protection locked="0"/>
    </xf>
    <xf numFmtId="0" fontId="97" fillId="0" borderId="0" xfId="275" applyFont="1" applyFill="1" applyBorder="1" applyAlignment="1" applyProtection="1">
      <alignment horizontal="left" vertical="center"/>
      <protection hidden="1"/>
    </xf>
    <xf numFmtId="0" fontId="100" fillId="0" borderId="0" xfId="275" applyFont="1" applyFill="1" applyBorder="1" applyAlignment="1" applyProtection="1">
      <alignment horizontal="left" vertical="center"/>
      <protection hidden="1"/>
    </xf>
    <xf numFmtId="0" fontId="97" fillId="0" borderId="0" xfId="275" applyFont="1" applyFill="1" applyBorder="1" applyProtection="1">
      <protection hidden="1"/>
    </xf>
    <xf numFmtId="172" fontId="100" fillId="0" borderId="0" xfId="275" applyNumberFormat="1" applyFont="1" applyFill="1" applyBorder="1" applyAlignment="1" applyProtection="1">
      <alignment horizontal="left" vertical="center"/>
      <protection hidden="1"/>
    </xf>
    <xf numFmtId="172" fontId="97" fillId="0" borderId="0" xfId="275" applyNumberFormat="1" applyFont="1" applyFill="1" applyBorder="1" applyAlignment="1" applyProtection="1">
      <alignment horizontal="left" vertical="center"/>
      <protection hidden="1"/>
    </xf>
    <xf numFmtId="0" fontId="101" fillId="0" borderId="0" xfId="275" applyFont="1" applyFill="1" applyAlignment="1" applyProtection="1">
      <alignment horizontal="center"/>
      <protection hidden="1"/>
    </xf>
    <xf numFmtId="0" fontId="27" fillId="29" borderId="0" xfId="275" applyFont="1" applyFill="1" applyAlignment="1" applyProtection="1">
      <alignment horizontal="left" vertical="center"/>
      <protection hidden="1"/>
    </xf>
    <xf numFmtId="0" fontId="101" fillId="29" borderId="0" xfId="275" applyFont="1" applyFill="1" applyAlignment="1" applyProtection="1">
      <alignment horizontal="center"/>
      <protection hidden="1"/>
    </xf>
    <xf numFmtId="0" fontId="97" fillId="0" borderId="0" xfId="275" applyFont="1" applyProtection="1">
      <protection hidden="1"/>
    </xf>
    <xf numFmtId="0" fontId="98" fillId="29" borderId="0" xfId="275" applyFont="1" applyFill="1" applyAlignment="1" applyProtection="1">
      <alignment horizontal="right"/>
      <protection hidden="1"/>
    </xf>
    <xf numFmtId="0" fontId="23" fillId="0" borderId="0" xfId="275" applyFont="1" applyFill="1" applyBorder="1" applyAlignment="1" applyProtection="1">
      <alignment vertical="center" wrapText="1"/>
    </xf>
    <xf numFmtId="0" fontId="27" fillId="0" borderId="0" xfId="275" applyFont="1" applyFill="1" applyBorder="1" applyAlignment="1" applyProtection="1">
      <alignment horizontal="center" vertical="center" wrapText="1"/>
      <protection locked="0"/>
    </xf>
    <xf numFmtId="0" fontId="97" fillId="0" borderId="0" xfId="275" applyFont="1" applyFill="1" applyBorder="1" applyAlignment="1" applyProtection="1">
      <protection hidden="1"/>
    </xf>
    <xf numFmtId="0" fontId="97" fillId="0" borderId="0" xfId="275" applyFont="1" applyBorder="1" applyAlignment="1" applyProtection="1">
      <alignment vertical="center"/>
      <protection hidden="1"/>
    </xf>
    <xf numFmtId="3" fontId="97" fillId="0" borderId="0" xfId="275" applyNumberFormat="1" applyFont="1" applyFill="1" applyBorder="1" applyAlignment="1" applyProtection="1">
      <alignment horizontal="right" vertical="center"/>
      <protection locked="0"/>
    </xf>
    <xf numFmtId="165" fontId="97" fillId="0" borderId="0" xfId="275" applyNumberFormat="1" applyFont="1" applyFill="1" applyBorder="1" applyAlignment="1" applyProtection="1">
      <alignment horizontal="center" vertical="center" wrapText="1"/>
      <protection locked="0"/>
    </xf>
    <xf numFmtId="0" fontId="77" fillId="0" borderId="0" xfId="275" applyFont="1" applyProtection="1">
      <protection hidden="1"/>
    </xf>
    <xf numFmtId="0" fontId="97" fillId="29" borderId="0" xfId="275" applyFont="1" applyFill="1" applyProtection="1">
      <protection hidden="1"/>
    </xf>
    <xf numFmtId="0" fontId="97" fillId="0" borderId="0" xfId="275" applyFont="1" applyFill="1" applyBorder="1" applyAlignment="1" applyProtection="1">
      <alignment vertical="center"/>
      <protection hidden="1"/>
    </xf>
    <xf numFmtId="0" fontId="27" fillId="42" borderId="40" xfId="275" applyFont="1" applyFill="1" applyBorder="1" applyAlignment="1" applyProtection="1">
      <alignment horizontal="center" vertical="center"/>
      <protection hidden="1"/>
    </xf>
    <xf numFmtId="0" fontId="99" fillId="42" borderId="40" xfId="275" applyFont="1" applyFill="1" applyBorder="1" applyAlignment="1" applyProtection="1">
      <alignment horizontal="center" vertical="center" wrapText="1"/>
      <protection hidden="1"/>
    </xf>
    <xf numFmtId="0" fontId="27" fillId="29" borderId="40" xfId="275" applyFont="1" applyFill="1" applyBorder="1" applyAlignment="1" applyProtection="1">
      <alignment horizontal="center" vertical="center"/>
      <protection hidden="1"/>
    </xf>
    <xf numFmtId="0" fontId="100" fillId="29" borderId="40" xfId="275" applyFont="1" applyFill="1" applyBorder="1" applyAlignment="1" applyProtection="1">
      <alignment horizontal="right" vertical="center"/>
      <protection hidden="1"/>
    </xf>
    <xf numFmtId="0" fontId="103" fillId="29" borderId="40" xfId="275" applyFont="1" applyFill="1" applyBorder="1" applyAlignment="1" applyProtection="1">
      <alignment vertical="center"/>
      <protection hidden="1"/>
    </xf>
    <xf numFmtId="0" fontId="100" fillId="0" borderId="0" xfId="275" applyFont="1" applyAlignment="1">
      <alignment horizontal="left" vertical="center"/>
    </xf>
    <xf numFmtId="0" fontId="99" fillId="29" borderId="0" xfId="275" applyFont="1" applyFill="1" applyBorder="1" applyAlignment="1" applyProtection="1">
      <alignment horizontal="center" vertical="center"/>
      <protection hidden="1"/>
    </xf>
    <xf numFmtId="0" fontId="99" fillId="29" borderId="0" xfId="275" applyFont="1" applyFill="1" applyBorder="1" applyAlignment="1" applyProtection="1">
      <alignment horizontal="center" vertical="top" wrapText="1"/>
      <protection locked="0"/>
    </xf>
    <xf numFmtId="2" fontId="99" fillId="29" borderId="0" xfId="275" applyNumberFormat="1" applyFont="1" applyFill="1" applyBorder="1" applyAlignment="1" applyProtection="1">
      <alignment horizontal="center" vertical="center" wrapText="1"/>
      <protection hidden="1"/>
    </xf>
    <xf numFmtId="0" fontId="100" fillId="29" borderId="0" xfId="275" applyFont="1" applyFill="1" applyBorder="1" applyAlignment="1" applyProtection="1">
      <alignment horizontal="left" vertical="center" wrapText="1"/>
      <protection locked="0"/>
    </xf>
    <xf numFmtId="3" fontId="100" fillId="29" borderId="0" xfId="276" applyNumberFormat="1" applyFont="1" applyFill="1" applyBorder="1" applyAlignment="1" applyProtection="1">
      <alignment horizontal="center" vertical="center" wrapText="1"/>
      <protection locked="0"/>
    </xf>
    <xf numFmtId="0" fontId="97" fillId="29" borderId="0" xfId="275" applyFont="1" applyFill="1" applyBorder="1" applyAlignment="1" applyProtection="1">
      <alignment horizontal="right" vertical="center"/>
      <protection hidden="1"/>
    </xf>
    <xf numFmtId="0" fontId="104" fillId="29" borderId="0" xfId="275" applyFont="1" applyFill="1" applyBorder="1" applyAlignment="1" applyProtection="1">
      <protection hidden="1"/>
    </xf>
    <xf numFmtId="0" fontId="27" fillId="29" borderId="0" xfId="275" applyFont="1" applyFill="1" applyBorder="1" applyAlignment="1" applyProtection="1">
      <alignment horizontal="center" vertical="center"/>
      <protection hidden="1"/>
    </xf>
    <xf numFmtId="0" fontId="100" fillId="29" borderId="0" xfId="275" applyFont="1" applyFill="1" applyBorder="1" applyAlignment="1" applyProtection="1">
      <alignment horizontal="left" vertical="center"/>
      <protection locked="0"/>
    </xf>
    <xf numFmtId="0" fontId="100" fillId="29" borderId="0" xfId="275" applyFont="1" applyFill="1" applyBorder="1" applyAlignment="1" applyProtection="1">
      <alignment horizontal="center" vertical="center" wrapText="1"/>
      <protection locked="0"/>
    </xf>
    <xf numFmtId="164" fontId="100" fillId="29" borderId="0" xfId="275" applyNumberFormat="1" applyFont="1" applyFill="1" applyBorder="1" applyAlignment="1" applyProtection="1">
      <alignment horizontal="center" vertical="center" wrapText="1"/>
      <protection locked="0"/>
    </xf>
    <xf numFmtId="0" fontId="100" fillId="29" borderId="0" xfId="275" applyFont="1" applyFill="1" applyBorder="1" applyAlignment="1" applyProtection="1">
      <alignment horizontal="right" vertical="center"/>
      <protection hidden="1"/>
    </xf>
    <xf numFmtId="0" fontId="103" fillId="29" borderId="0" xfId="275" applyFont="1" applyFill="1" applyBorder="1" applyAlignment="1" applyProtection="1">
      <alignment vertical="center"/>
      <protection hidden="1"/>
    </xf>
    <xf numFmtId="0" fontId="23" fillId="29" borderId="0" xfId="275" applyFont="1" applyFill="1" applyBorder="1" applyAlignment="1" applyProtection="1">
      <alignment horizontal="left" wrapText="1"/>
      <protection hidden="1"/>
    </xf>
    <xf numFmtId="0" fontId="23" fillId="29" borderId="0" xfId="275" applyFont="1" applyFill="1" applyBorder="1" applyAlignment="1" applyProtection="1">
      <alignment horizontal="left" vertical="center" wrapText="1"/>
      <protection hidden="1"/>
    </xf>
    <xf numFmtId="0" fontId="27" fillId="44" borderId="0" xfId="275" applyFont="1" applyFill="1" applyBorder="1" applyAlignment="1" applyProtection="1">
      <alignment vertical="center"/>
      <protection hidden="1"/>
    </xf>
    <xf numFmtId="0" fontId="23" fillId="44" borderId="0" xfId="275" applyFont="1" applyFill="1" applyBorder="1" applyAlignment="1" applyProtection="1">
      <protection hidden="1"/>
    </xf>
    <xf numFmtId="0" fontId="23" fillId="44" borderId="0" xfId="275" applyFont="1" applyFill="1" applyBorder="1" applyProtection="1">
      <protection hidden="1"/>
    </xf>
    <xf numFmtId="0" fontId="105" fillId="0" borderId="0" xfId="275" applyFont="1" applyFill="1" applyBorder="1" applyAlignment="1" applyProtection="1">
      <alignment vertical="center"/>
      <protection hidden="1"/>
    </xf>
    <xf numFmtId="0" fontId="98" fillId="0" borderId="0" xfId="275" applyFont="1" applyFill="1" applyBorder="1" applyAlignment="1" applyProtection="1">
      <alignment horizontal="left" vertical="center" wrapText="1"/>
      <protection hidden="1"/>
    </xf>
    <xf numFmtId="0" fontId="23" fillId="29" borderId="44" xfId="275" applyFont="1" applyFill="1" applyBorder="1" applyAlignment="1" applyProtection="1">
      <protection hidden="1"/>
    </xf>
    <xf numFmtId="0" fontId="23" fillId="29" borderId="45" xfId="275" applyFont="1" applyFill="1" applyBorder="1" applyAlignment="1" applyProtection="1">
      <protection hidden="1"/>
    </xf>
    <xf numFmtId="0" fontId="23" fillId="29" borderId="46" xfId="275" applyFont="1" applyFill="1" applyBorder="1" applyAlignment="1" applyProtection="1">
      <protection hidden="1"/>
    </xf>
    <xf numFmtId="0" fontId="97" fillId="0" borderId="0" xfId="275" applyFont="1" applyBorder="1"/>
    <xf numFmtId="0" fontId="106" fillId="29" borderId="47" xfId="275" applyFont="1" applyFill="1" applyBorder="1" applyAlignment="1" applyProtection="1">
      <alignment vertical="center"/>
      <protection hidden="1"/>
    </xf>
    <xf numFmtId="0" fontId="23" fillId="29" borderId="0" xfId="275" applyFont="1" applyFill="1" applyBorder="1" applyAlignment="1" applyProtection="1">
      <protection hidden="1"/>
    </xf>
    <xf numFmtId="0" fontId="23" fillId="29" borderId="48" xfId="275" applyFont="1" applyFill="1" applyBorder="1" applyAlignment="1" applyProtection="1">
      <protection hidden="1"/>
    </xf>
    <xf numFmtId="0" fontId="98" fillId="0" borderId="0" xfId="275" applyFont="1" applyBorder="1" applyAlignment="1">
      <alignment horizontal="left" vertical="center" wrapText="1"/>
    </xf>
    <xf numFmtId="0" fontId="23" fillId="29" borderId="50" xfId="275" applyFont="1" applyFill="1" applyBorder="1" applyAlignment="1" applyProtection="1">
      <protection hidden="1"/>
    </xf>
    <xf numFmtId="0" fontId="23" fillId="29" borderId="50" xfId="275" applyFont="1" applyFill="1" applyBorder="1" applyAlignment="1" applyProtection="1">
      <alignment wrapText="1"/>
      <protection hidden="1"/>
    </xf>
    <xf numFmtId="0" fontId="23" fillId="29" borderId="51" xfId="275" applyFont="1" applyFill="1" applyBorder="1" applyAlignment="1" applyProtection="1">
      <alignment wrapText="1"/>
      <protection hidden="1"/>
    </xf>
    <xf numFmtId="0" fontId="98" fillId="29" borderId="0" xfId="275" applyFont="1" applyFill="1" applyBorder="1" applyAlignment="1" applyProtection="1">
      <alignment horizontal="left" vertical="center" wrapText="1" indent="1"/>
      <protection hidden="1"/>
    </xf>
    <xf numFmtId="0" fontId="98" fillId="0" borderId="0" xfId="275" applyFont="1" applyFill="1" applyBorder="1" applyAlignment="1" applyProtection="1">
      <alignment horizontal="left" vertical="center" indent="1"/>
      <protection hidden="1"/>
    </xf>
    <xf numFmtId="0" fontId="27" fillId="0" borderId="0" xfId="275" applyFont="1" applyFill="1" applyBorder="1" applyAlignment="1" applyProtection="1">
      <alignment horizontal="left" vertical="center"/>
      <protection hidden="1"/>
    </xf>
    <xf numFmtId="0" fontId="98" fillId="0" borderId="0" xfId="275" applyFont="1" applyFill="1" applyBorder="1" applyAlignment="1" applyProtection="1">
      <alignment horizontal="left" vertical="center" wrapText="1" indent="1"/>
      <protection hidden="1"/>
    </xf>
    <xf numFmtId="0" fontId="98" fillId="0" borderId="0" xfId="275" applyFont="1" applyFill="1" applyBorder="1" applyAlignment="1" applyProtection="1">
      <alignment horizontal="right" vertical="center" indent="1"/>
      <protection hidden="1"/>
    </xf>
    <xf numFmtId="0" fontId="97" fillId="0" borderId="0" xfId="275" applyFont="1" applyFill="1" applyBorder="1"/>
    <xf numFmtId="0" fontId="107" fillId="0" borderId="0" xfId="275" applyFont="1" applyFill="1" applyBorder="1" applyAlignment="1" applyProtection="1">
      <alignment horizontal="left" vertical="center"/>
      <protection hidden="1"/>
    </xf>
    <xf numFmtId="0" fontId="98" fillId="0" borderId="0" xfId="275" applyFont="1" applyFill="1" applyBorder="1" applyAlignment="1" applyProtection="1">
      <alignment horizontal="center" vertical="center" wrapText="1"/>
      <protection locked="0"/>
    </xf>
    <xf numFmtId="14" fontId="98" fillId="0" borderId="0" xfId="275" applyNumberFormat="1" applyFont="1" applyFill="1" applyBorder="1" applyAlignment="1" applyProtection="1">
      <alignment horizontal="left" vertical="center" wrapText="1"/>
      <protection locked="0"/>
    </xf>
    <xf numFmtId="0" fontId="23" fillId="0" borderId="0" xfId="275" applyFont="1" applyFill="1" applyBorder="1" applyAlignment="1" applyProtection="1">
      <alignment vertical="center"/>
      <protection hidden="1"/>
    </xf>
    <xf numFmtId="0" fontId="23" fillId="0" borderId="0" xfId="275" applyFont="1" applyFill="1" applyBorder="1" applyAlignment="1" applyProtection="1">
      <alignment horizontal="right" vertical="center"/>
      <protection hidden="1"/>
    </xf>
    <xf numFmtId="0" fontId="23" fillId="0" borderId="0" xfId="275" applyFont="1" applyFill="1" applyBorder="1" applyAlignment="1" applyProtection="1">
      <alignment horizontal="center" vertical="center"/>
      <protection locked="0"/>
    </xf>
    <xf numFmtId="0" fontId="23" fillId="0" borderId="0" xfId="275" applyFont="1" applyFill="1" applyBorder="1" applyAlignment="1" applyProtection="1">
      <alignment horizontal="left" vertical="center"/>
      <protection locked="0"/>
    </xf>
    <xf numFmtId="0" fontId="97" fillId="0" borderId="0" xfId="275" applyFont="1" applyFill="1" applyBorder="1" applyAlignment="1" applyProtection="1">
      <alignment horizontal="center" vertical="center"/>
      <protection locked="0"/>
    </xf>
    <xf numFmtId="0" fontId="97" fillId="0" borderId="0" xfId="275" applyFont="1" applyFill="1"/>
    <xf numFmtId="0" fontId="97" fillId="0" borderId="0" xfId="275" applyFont="1" applyFill="1" applyBorder="1" applyAlignment="1" applyProtection="1">
      <alignment horizontal="left" vertical="center"/>
      <protection locked="0"/>
    </xf>
    <xf numFmtId="0" fontId="98" fillId="0" borderId="0" xfId="275" applyFont="1" applyFill="1" applyBorder="1" applyAlignment="1" applyProtection="1">
      <alignment horizontal="justify" vertical="center"/>
      <protection hidden="1"/>
    </xf>
    <xf numFmtId="0" fontId="108" fillId="29" borderId="0" xfId="275" applyFont="1" applyFill="1" applyBorder="1" applyAlignment="1" applyProtection="1">
      <alignment vertical="center"/>
      <protection hidden="1"/>
    </xf>
    <xf numFmtId="0" fontId="97" fillId="45" borderId="0" xfId="275" applyFont="1" applyFill="1" applyBorder="1"/>
    <xf numFmtId="0" fontId="98" fillId="46" borderId="0" xfId="275" applyFont="1" applyFill="1" applyBorder="1" applyAlignment="1" applyProtection="1">
      <alignment horizontal="right" vertical="center"/>
      <protection hidden="1"/>
    </xf>
    <xf numFmtId="0" fontId="99" fillId="46" borderId="0" xfId="275" applyFont="1" applyFill="1" applyBorder="1" applyAlignment="1" applyProtection="1">
      <alignment vertical="center"/>
      <protection locked="0"/>
    </xf>
    <xf numFmtId="0" fontId="97" fillId="46" borderId="0" xfId="275" applyFont="1" applyFill="1" applyBorder="1"/>
    <xf numFmtId="0" fontId="97" fillId="46" borderId="0" xfId="275" applyFont="1" applyFill="1" applyBorder="1" applyAlignment="1" applyProtection="1">
      <alignment horizontal="left" vertical="center"/>
      <protection hidden="1"/>
    </xf>
    <xf numFmtId="0" fontId="99" fillId="46" borderId="0" xfId="275" applyFont="1" applyFill="1" applyBorder="1" applyAlignment="1" applyProtection="1">
      <alignment horizontal="left" vertical="center"/>
      <protection hidden="1"/>
    </xf>
    <xf numFmtId="0" fontId="100" fillId="46" borderId="0" xfId="275" applyFont="1" applyFill="1" applyBorder="1" applyProtection="1">
      <protection hidden="1"/>
    </xf>
    <xf numFmtId="172" fontId="99" fillId="46" borderId="0" xfId="275" applyNumberFormat="1" applyFont="1" applyFill="1" applyBorder="1" applyAlignment="1" applyProtection="1">
      <alignment horizontal="left" vertical="center"/>
      <protection hidden="1"/>
    </xf>
    <xf numFmtId="0" fontId="97" fillId="46" borderId="0" xfId="275" applyFont="1" applyFill="1" applyBorder="1" applyProtection="1">
      <protection hidden="1"/>
    </xf>
    <xf numFmtId="172" fontId="100" fillId="46" borderId="0" xfId="275" applyNumberFormat="1" applyFont="1" applyFill="1" applyBorder="1" applyAlignment="1" applyProtection="1">
      <alignment horizontal="left" vertical="center"/>
      <protection hidden="1"/>
    </xf>
    <xf numFmtId="0" fontId="100" fillId="46" borderId="0" xfId="275" applyFont="1" applyFill="1" applyBorder="1" applyAlignment="1" applyProtection="1">
      <alignment horizontal="left" vertical="center"/>
      <protection locked="0"/>
    </xf>
    <xf numFmtId="0" fontId="100" fillId="46" borderId="0" xfId="275" applyFont="1" applyFill="1" applyBorder="1" applyAlignment="1" applyProtection="1">
      <alignment horizontal="left" vertical="center"/>
      <protection hidden="1"/>
    </xf>
    <xf numFmtId="0" fontId="23" fillId="29" borderId="0" xfId="275" applyFont="1" applyFill="1" applyBorder="1" applyAlignment="1" applyProtection="1">
      <alignment horizontal="justify" vertical="center" wrapText="1"/>
      <protection hidden="1"/>
    </xf>
    <xf numFmtId="0" fontId="27" fillId="0" borderId="0" xfId="275" applyFont="1" applyFill="1" applyBorder="1" applyAlignment="1" applyProtection="1">
      <alignment horizontal="center" vertical="center" wrapText="1"/>
      <protection locked="0" hidden="1"/>
    </xf>
    <xf numFmtId="0" fontId="97" fillId="29" borderId="0" xfId="275" applyFont="1" applyFill="1" applyAlignment="1" applyProtection="1">
      <alignment horizontal="right"/>
      <protection hidden="1"/>
    </xf>
    <xf numFmtId="0" fontId="78" fillId="0" borderId="0" xfId="275" applyFont="1" applyFill="1" applyBorder="1" applyAlignment="1" applyProtection="1">
      <alignment horizontal="left" vertical="center"/>
      <protection hidden="1"/>
    </xf>
    <xf numFmtId="0" fontId="27" fillId="0" borderId="0" xfId="275" applyFont="1" applyFill="1" applyBorder="1" applyAlignment="1" applyProtection="1">
      <alignment vertical="center"/>
      <protection hidden="1"/>
    </xf>
    <xf numFmtId="44" fontId="29" fillId="0" borderId="0" xfId="275" applyNumberFormat="1" applyFont="1" applyFill="1" applyBorder="1" applyAlignment="1" applyProtection="1">
      <alignment horizontal="center" vertical="center" wrapText="1"/>
      <protection locked="0"/>
    </xf>
    <xf numFmtId="0" fontId="111" fillId="0" borderId="0" xfId="275" applyFont="1" applyFill="1" applyBorder="1" applyAlignment="1" applyProtection="1">
      <alignment horizontal="left" vertical="center" wrapText="1" indent="1"/>
      <protection hidden="1"/>
    </xf>
    <xf numFmtId="0" fontId="113" fillId="46" borderId="59" xfId="275" applyFont="1" applyFill="1" applyBorder="1" applyAlignment="1" applyProtection="1">
      <alignment vertical="center" wrapText="1"/>
      <protection hidden="1"/>
    </xf>
    <xf numFmtId="0" fontId="113" fillId="46" borderId="55" xfId="275" applyFont="1" applyFill="1" applyBorder="1" applyAlignment="1" applyProtection="1">
      <alignment vertical="center" wrapText="1"/>
      <protection hidden="1"/>
    </xf>
    <xf numFmtId="0" fontId="113" fillId="0" borderId="0" xfId="275" applyFont="1" applyFill="1" applyBorder="1" applyAlignment="1" applyProtection="1">
      <alignment horizontal="left" vertical="center" wrapText="1"/>
      <protection hidden="1"/>
    </xf>
    <xf numFmtId="0" fontId="113" fillId="0" borderId="0" xfId="275" applyFont="1" applyFill="1" applyBorder="1" applyAlignment="1" applyProtection="1">
      <alignment vertical="center" wrapText="1"/>
      <protection hidden="1"/>
    </xf>
    <xf numFmtId="0" fontId="114" fillId="29" borderId="0" xfId="275" applyFont="1" applyFill="1" applyBorder="1" applyAlignment="1" applyProtection="1">
      <alignment horizontal="left" vertical="center"/>
      <protection hidden="1"/>
    </xf>
    <xf numFmtId="0" fontId="23" fillId="0" borderId="0" xfId="275" applyFont="1" applyFill="1" applyBorder="1" applyAlignment="1" applyProtection="1">
      <alignment horizontal="left" vertical="center" wrapText="1"/>
      <protection hidden="1"/>
    </xf>
    <xf numFmtId="0" fontId="23" fillId="0" borderId="0" xfId="275" applyFont="1" applyFill="1" applyBorder="1" applyAlignment="1" applyProtection="1">
      <alignment vertical="center"/>
      <protection locked="0"/>
    </xf>
    <xf numFmtId="0" fontId="97" fillId="0" borderId="0" xfId="275" applyFont="1" applyFill="1" applyBorder="1" applyAlignment="1" applyProtection="1">
      <alignment vertical="center"/>
      <protection locked="0"/>
    </xf>
    <xf numFmtId="0" fontId="100" fillId="46" borderId="69" xfId="275" applyNumberFormat="1" applyFont="1" applyFill="1" applyBorder="1" applyAlignment="1" applyProtection="1">
      <alignment horizontal="left" vertical="center"/>
      <protection hidden="1"/>
    </xf>
    <xf numFmtId="3" fontId="0" fillId="0" borderId="0" xfId="275" applyNumberFormat="1" applyFont="1" applyFill="1" applyBorder="1" applyAlignment="1" applyProtection="1">
      <alignment vertical="center"/>
      <protection locked="0"/>
    </xf>
    <xf numFmtId="49" fontId="25" fillId="0" borderId="20" xfId="256" applyNumberFormat="1" applyFont="1" applyBorder="1" applyProtection="1"/>
    <xf numFmtId="0" fontId="25" fillId="0" borderId="20" xfId="256" applyFont="1" applyBorder="1" applyProtection="1"/>
    <xf numFmtId="0" fontId="27" fillId="0" borderId="0" xfId="5" applyFont="1" applyFill="1" applyBorder="1" applyAlignment="1" applyProtection="1">
      <alignment horizontal="right" vertical="center"/>
      <protection hidden="1"/>
    </xf>
    <xf numFmtId="0" fontId="23" fillId="0" borderId="0" xfId="5" applyFont="1" applyFill="1" applyBorder="1" applyAlignment="1" applyProtection="1">
      <alignment horizontal="left" vertical="top" wrapText="1"/>
      <protection locked="0"/>
    </xf>
    <xf numFmtId="0" fontId="23" fillId="0" borderId="48" xfId="5" applyFont="1" applyFill="1" applyBorder="1" applyAlignment="1" applyProtection="1">
      <alignment horizontal="left" vertical="top" wrapText="1"/>
      <protection locked="0"/>
    </xf>
    <xf numFmtId="0" fontId="23" fillId="0" borderId="0" xfId="5" applyFont="1" applyFill="1" applyBorder="1" applyAlignment="1" applyProtection="1">
      <alignment horizontal="left" vertical="center"/>
      <protection locked="0"/>
    </xf>
    <xf numFmtId="0" fontId="25" fillId="0" borderId="0" xfId="3" applyFont="1" applyFill="1" applyBorder="1" applyAlignment="1" applyProtection="1">
      <alignment horizontal="left" vertical="center"/>
      <protection locked="0"/>
    </xf>
    <xf numFmtId="14" fontId="25" fillId="29" borderId="0" xfId="256" applyNumberFormat="1" applyFont="1" applyFill="1" applyBorder="1" applyAlignment="1" applyProtection="1">
      <alignment horizontal="center" vertical="center"/>
      <protection hidden="1"/>
    </xf>
    <xf numFmtId="0" fontId="27" fillId="0" borderId="0" xfId="5" applyFont="1" applyFill="1" applyBorder="1" applyAlignment="1" applyProtection="1">
      <alignment horizontal="right" vertical="center"/>
      <protection hidden="1"/>
    </xf>
    <xf numFmtId="0" fontId="27" fillId="0" borderId="0" xfId="5" applyFont="1" applyBorder="1" applyAlignment="1" applyProtection="1">
      <alignment horizontal="right" vertical="center"/>
      <protection hidden="1"/>
    </xf>
    <xf numFmtId="0" fontId="62" fillId="0" borderId="0" xfId="5" applyFont="1" applyFill="1" applyBorder="1" applyAlignment="1" applyProtection="1">
      <alignment horizontal="left" vertical="center"/>
      <protection hidden="1"/>
    </xf>
    <xf numFmtId="0" fontId="27" fillId="0" borderId="0" xfId="5" applyFont="1" applyBorder="1" applyAlignment="1" applyProtection="1">
      <alignment horizontal="right" vertical="center"/>
      <protection hidden="1"/>
    </xf>
    <xf numFmtId="0" fontId="28" fillId="0" borderId="0" xfId="2" applyBorder="1" applyAlignment="1" applyProtection="1">
      <alignment vertical="center" wrapText="1"/>
    </xf>
    <xf numFmtId="0" fontId="28" fillId="0" borderId="2" xfId="2" applyAlignment="1" applyProtection="1">
      <alignment vertical="center" wrapText="1"/>
    </xf>
    <xf numFmtId="0" fontId="115" fillId="0" borderId="0" xfId="5" applyFont="1" applyFill="1" applyBorder="1" applyAlignment="1" applyProtection="1">
      <alignment vertical="center"/>
      <protection hidden="1"/>
    </xf>
    <xf numFmtId="0" fontId="62" fillId="0" borderId="0" xfId="0" applyFont="1" applyFill="1" applyBorder="1" applyAlignment="1" applyProtection="1">
      <alignment horizontal="center" vertical="center"/>
      <protection hidden="1"/>
    </xf>
    <xf numFmtId="167" fontId="117" fillId="3" borderId="72" xfId="6" applyNumberFormat="1" applyFont="1" applyFill="1" applyBorder="1" applyAlignment="1" applyProtection="1">
      <alignment horizontal="right" vertical="center" wrapText="1"/>
      <protection locked="0"/>
    </xf>
    <xf numFmtId="178" fontId="117" fillId="3" borderId="72" xfId="6" applyNumberFormat="1" applyFont="1" applyFill="1" applyBorder="1" applyAlignment="1" applyProtection="1">
      <alignment horizontal="right" vertical="center" wrapText="1"/>
      <protection locked="0"/>
    </xf>
    <xf numFmtId="0" fontId="120" fillId="0" borderId="0" xfId="0" applyFont="1" applyProtection="1">
      <protection hidden="1"/>
    </xf>
    <xf numFmtId="0" fontId="117" fillId="0" borderId="0" xfId="0" applyFont="1" applyProtection="1">
      <protection hidden="1"/>
    </xf>
    <xf numFmtId="0" fontId="0" fillId="0" borderId="0" xfId="0" applyProtection="1">
      <protection hidden="1"/>
    </xf>
    <xf numFmtId="167" fontId="117" fillId="0" borderId="72" xfId="6" applyNumberFormat="1" applyFont="1" applyFill="1" applyBorder="1" applyAlignment="1" applyProtection="1">
      <alignment horizontal="right" vertical="center" wrapText="1"/>
      <protection hidden="1"/>
    </xf>
    <xf numFmtId="178" fontId="117" fillId="0" borderId="0" xfId="6" applyNumberFormat="1" applyFont="1" applyFill="1" applyBorder="1" applyAlignment="1" applyProtection="1">
      <alignment horizontal="right" vertical="center" wrapText="1"/>
      <protection hidden="1"/>
    </xf>
    <xf numFmtId="0" fontId="117" fillId="0" borderId="0" xfId="0" applyFont="1" applyFill="1" applyBorder="1" applyProtection="1">
      <protection hidden="1"/>
    </xf>
    <xf numFmtId="0" fontId="116" fillId="0" borderId="0" xfId="0" applyFont="1" applyProtection="1">
      <protection hidden="1"/>
    </xf>
    <xf numFmtId="0" fontId="118" fillId="0" borderId="0" xfId="0" applyFont="1" applyAlignment="1" applyProtection="1">
      <alignment horizontal="right"/>
      <protection hidden="1"/>
    </xf>
    <xf numFmtId="0" fontId="119" fillId="0" borderId="0" xfId="0" applyFont="1" applyProtection="1">
      <protection hidden="1"/>
    </xf>
    <xf numFmtId="0" fontId="117" fillId="0" borderId="0" xfId="5" applyFont="1" applyProtection="1">
      <protection hidden="1"/>
    </xf>
    <xf numFmtId="0" fontId="22" fillId="0" borderId="0" xfId="5" applyProtection="1">
      <protection hidden="1"/>
    </xf>
    <xf numFmtId="0" fontId="117" fillId="0" borderId="0" xfId="5" applyFont="1" applyAlignment="1" applyProtection="1">
      <alignment horizontal="left" vertical="center"/>
      <protection hidden="1"/>
    </xf>
    <xf numFmtId="177" fontId="117" fillId="0" borderId="0" xfId="113" applyNumberFormat="1" applyFont="1" applyAlignment="1" applyProtection="1">
      <alignment horizontal="right"/>
      <protection hidden="1"/>
    </xf>
    <xf numFmtId="0" fontId="118" fillId="0" borderId="0" xfId="5" applyFont="1" applyAlignment="1" applyProtection="1">
      <alignment horizontal="right"/>
      <protection hidden="1"/>
    </xf>
    <xf numFmtId="0" fontId="117" fillId="0" borderId="0" xfId="279" applyFont="1" applyProtection="1">
      <protection hidden="1"/>
    </xf>
    <xf numFmtId="0" fontId="117" fillId="0" borderId="0" xfId="279" applyFont="1" applyProtection="1">
      <protection hidden="1"/>
    </xf>
    <xf numFmtId="0" fontId="117" fillId="0" borderId="0" xfId="279" applyFont="1" applyProtection="1">
      <protection hidden="1"/>
    </xf>
    <xf numFmtId="0" fontId="117" fillId="0" borderId="0" xfId="279" applyFont="1" applyProtection="1">
      <protection hidden="1"/>
    </xf>
    <xf numFmtId="0" fontId="117" fillId="0" borderId="0" xfId="279" applyFont="1" applyProtection="1">
      <protection hidden="1"/>
    </xf>
    <xf numFmtId="0" fontId="123" fillId="0" borderId="0" xfId="5" applyFont="1" applyAlignment="1" applyProtection="1">
      <alignment horizontal="left"/>
      <protection hidden="1"/>
    </xf>
    <xf numFmtId="0" fontId="123" fillId="0" borderId="0" xfId="0" applyFont="1" applyAlignment="1" applyProtection="1">
      <alignment horizontal="left"/>
      <protection hidden="1"/>
    </xf>
    <xf numFmtId="0" fontId="0" fillId="0" borderId="0" xfId="0" applyAlignment="1" applyProtection="1">
      <alignment horizontal="right"/>
      <protection hidden="1"/>
    </xf>
    <xf numFmtId="0" fontId="124" fillId="0" borderId="0" xfId="279" applyFont="1" applyProtection="1">
      <protection hidden="1"/>
    </xf>
    <xf numFmtId="3" fontId="125" fillId="42" borderId="0" xfId="0" applyNumberFormat="1" applyFont="1" applyFill="1" applyBorder="1" applyAlignment="1" applyProtection="1">
      <alignment horizontal="left" vertical="center"/>
      <protection hidden="1"/>
    </xf>
    <xf numFmtId="0" fontId="0" fillId="42" borderId="0" xfId="0" applyFill="1" applyProtection="1">
      <protection hidden="1"/>
    </xf>
    <xf numFmtId="49" fontId="62" fillId="0" borderId="20" xfId="256" applyNumberFormat="1" applyFont="1" applyBorder="1" applyAlignment="1" applyProtection="1">
      <alignment wrapText="1"/>
    </xf>
    <xf numFmtId="49" fontId="25" fillId="3" borderId="20" xfId="256" applyNumberFormat="1" applyFont="1" applyFill="1" applyBorder="1" applyAlignment="1" applyProtection="1">
      <alignment wrapText="1"/>
      <protection locked="0"/>
    </xf>
    <xf numFmtId="0" fontId="62" fillId="0" borderId="20" xfId="256" applyFont="1" applyBorder="1" applyAlignment="1" applyProtection="1">
      <alignment wrapText="1"/>
    </xf>
    <xf numFmtId="0" fontId="25" fillId="3" borderId="20" xfId="256" applyFont="1" applyFill="1" applyBorder="1" applyAlignment="1" applyProtection="1">
      <alignment wrapText="1"/>
      <protection locked="0"/>
    </xf>
    <xf numFmtId="49" fontId="62" fillId="0" borderId="20" xfId="256" applyNumberFormat="1" applyFont="1" applyBorder="1" applyAlignment="1">
      <alignment wrapText="1"/>
    </xf>
    <xf numFmtId="0" fontId="62" fillId="0" borderId="20" xfId="256" applyFont="1" applyBorder="1" applyAlignment="1">
      <alignment wrapText="1"/>
    </xf>
    <xf numFmtId="3" fontId="62" fillId="29" borderId="44" xfId="236" applyNumberFormat="1" applyFont="1" applyFill="1" applyBorder="1" applyAlignment="1" applyProtection="1">
      <alignment horizontal="center" vertical="top" wrapText="1"/>
      <protection hidden="1"/>
    </xf>
    <xf numFmtId="0" fontId="126" fillId="47" borderId="52" xfId="5" applyFont="1" applyFill="1" applyBorder="1" applyAlignment="1" applyProtection="1">
      <alignment horizontal="center" vertical="center" wrapText="1"/>
      <protection hidden="1"/>
    </xf>
    <xf numFmtId="0" fontId="126" fillId="48" borderId="40" xfId="0" applyFont="1" applyFill="1" applyBorder="1" applyAlignment="1" applyProtection="1">
      <alignment horizontal="center"/>
      <protection hidden="1"/>
    </xf>
    <xf numFmtId="3" fontId="129" fillId="29" borderId="41" xfId="256" applyNumberFormat="1" applyFont="1" applyFill="1" applyBorder="1" applyAlignment="1" applyProtection="1">
      <alignment vertical="center"/>
      <protection hidden="1"/>
    </xf>
    <xf numFmtId="0" fontId="129" fillId="29" borderId="43" xfId="256" applyFont="1" applyFill="1" applyBorder="1" applyAlignment="1" applyProtection="1">
      <alignment vertical="center"/>
      <protection hidden="1"/>
    </xf>
    <xf numFmtId="0" fontId="134" fillId="0" borderId="0" xfId="2" applyFont="1" applyBorder="1" applyAlignment="1" applyProtection="1">
      <alignment vertical="center"/>
    </xf>
    <xf numFmtId="49" fontId="130" fillId="0" borderId="0" xfId="0" applyNumberFormat="1" applyFont="1" applyBorder="1" applyAlignment="1" applyProtection="1">
      <alignment vertical="center"/>
      <protection hidden="1"/>
    </xf>
    <xf numFmtId="3" fontId="130" fillId="0" borderId="41" xfId="0" applyNumberFormat="1" applyFont="1" applyBorder="1" applyAlignment="1" applyProtection="1">
      <alignment horizontal="left" vertical="center"/>
      <protection hidden="1"/>
    </xf>
    <xf numFmtId="3" fontId="130" fillId="0" borderId="40" xfId="0" applyNumberFormat="1" applyFont="1" applyBorder="1" applyAlignment="1" applyProtection="1">
      <alignment horizontal="left" vertical="center" wrapText="1"/>
      <protection hidden="1"/>
    </xf>
    <xf numFmtId="3" fontId="88" fillId="0" borderId="59" xfId="0" applyNumberFormat="1" applyFont="1" applyFill="1" applyBorder="1" applyAlignment="1" applyProtection="1">
      <alignment horizontal="left" vertical="center" wrapText="1"/>
      <protection hidden="1"/>
    </xf>
    <xf numFmtId="3" fontId="88" fillId="0" borderId="44" xfId="0" applyNumberFormat="1" applyFont="1" applyFill="1" applyBorder="1" applyAlignment="1" applyProtection="1">
      <alignment horizontal="left" vertical="center"/>
      <protection hidden="1"/>
    </xf>
    <xf numFmtId="3" fontId="25" fillId="29" borderId="59" xfId="236" applyNumberFormat="1" applyFont="1" applyFill="1" applyBorder="1" applyAlignment="1" applyProtection="1">
      <alignment horizontal="left" vertical="center" wrapText="1"/>
      <protection hidden="1"/>
    </xf>
    <xf numFmtId="3" fontId="25" fillId="29" borderId="44" xfId="239" applyNumberFormat="1" applyFont="1" applyFill="1" applyBorder="1" applyAlignment="1" applyProtection="1">
      <alignment horizontal="left" vertical="center" wrapText="1"/>
      <protection hidden="1"/>
    </xf>
    <xf numFmtId="3" fontId="130" fillId="29" borderId="0" xfId="238" applyNumberFormat="1" applyFont="1" applyFill="1" applyBorder="1" applyAlignment="1" applyProtection="1">
      <alignment horizontal="left" vertical="center"/>
      <protection hidden="1"/>
    </xf>
    <xf numFmtId="3" fontId="130" fillId="29" borderId="40" xfId="0" applyNumberFormat="1" applyFont="1" applyFill="1" applyBorder="1" applyAlignment="1" applyProtection="1">
      <alignment horizontal="left" vertical="center" wrapText="1"/>
      <protection hidden="1"/>
    </xf>
    <xf numFmtId="3" fontId="130" fillId="0" borderId="40" xfId="0" applyNumberFormat="1" applyFont="1" applyFill="1" applyBorder="1" applyAlignment="1" applyProtection="1">
      <alignment horizontal="left" vertical="center" wrapText="1"/>
      <protection hidden="1"/>
    </xf>
    <xf numFmtId="3" fontId="130" fillId="0" borderId="41" xfId="0" applyNumberFormat="1" applyFont="1" applyFill="1" applyBorder="1" applyAlignment="1" applyProtection="1">
      <alignment horizontal="left" vertical="center"/>
      <protection hidden="1"/>
    </xf>
    <xf numFmtId="3" fontId="130" fillId="29" borderId="40" xfId="239" applyNumberFormat="1" applyFont="1" applyFill="1" applyBorder="1" applyAlignment="1" applyProtection="1">
      <alignment horizontal="center" vertical="center"/>
      <protection hidden="1"/>
    </xf>
    <xf numFmtId="0" fontId="27" fillId="0" borderId="0" xfId="5" applyFont="1" applyBorder="1" applyAlignment="1" applyProtection="1">
      <alignment horizontal="right" vertical="center"/>
      <protection hidden="1"/>
    </xf>
    <xf numFmtId="0" fontId="0" fillId="0" borderId="88" xfId="0" applyFont="1" applyFill="1" applyBorder="1" applyAlignment="1" applyProtection="1">
      <alignment horizontal="center"/>
      <protection locked="0"/>
    </xf>
    <xf numFmtId="14" fontId="0" fillId="0" borderId="88" xfId="0" applyNumberFormat="1" applyFont="1" applyFill="1" applyBorder="1" applyProtection="1">
      <protection locked="0"/>
    </xf>
    <xf numFmtId="3" fontId="25" fillId="0" borderId="88" xfId="5" applyNumberFormat="1" applyFont="1" applyFill="1" applyBorder="1" applyAlignment="1" applyProtection="1">
      <alignment horizontal="center" vertical="center"/>
      <protection locked="0"/>
    </xf>
    <xf numFmtId="0" fontId="25" fillId="0" borderId="88" xfId="5" applyFont="1" applyFill="1" applyBorder="1" applyAlignment="1" applyProtection="1">
      <alignment horizontal="center" vertical="center"/>
      <protection locked="0"/>
    </xf>
    <xf numFmtId="0" fontId="25" fillId="0" borderId="88" xfId="0" applyFont="1" applyFill="1" applyBorder="1" applyAlignment="1" applyProtection="1">
      <alignment horizontal="center" vertical="center"/>
      <protection locked="0"/>
    </xf>
    <xf numFmtId="3" fontId="25" fillId="0" borderId="88" xfId="0" applyNumberFormat="1" applyFont="1" applyFill="1" applyBorder="1" applyAlignment="1" applyProtection="1">
      <alignment horizontal="center" vertical="center"/>
      <protection locked="0"/>
    </xf>
    <xf numFmtId="0" fontId="23" fillId="0" borderId="88" xfId="5" applyFont="1" applyFill="1" applyBorder="1" applyAlignment="1" applyProtection="1">
      <alignment vertical="center"/>
      <protection locked="0"/>
    </xf>
    <xf numFmtId="0" fontId="25" fillId="0" borderId="88" xfId="0" applyFont="1" applyFill="1" applyBorder="1" applyAlignment="1" applyProtection="1">
      <alignment horizontal="right" vertical="center"/>
      <protection locked="0"/>
    </xf>
    <xf numFmtId="0" fontId="126" fillId="47" borderId="65" xfId="5" applyFont="1" applyFill="1" applyBorder="1" applyAlignment="1" applyProtection="1">
      <alignment horizontal="center" vertical="center" wrapText="1"/>
      <protection hidden="1"/>
    </xf>
    <xf numFmtId="0" fontId="25" fillId="0" borderId="88" xfId="5" applyFont="1" applyFill="1" applyBorder="1" applyAlignment="1" applyProtection="1">
      <alignment vertical="top" wrapText="1"/>
      <protection locked="0"/>
    </xf>
    <xf numFmtId="165" fontId="23" fillId="0" borderId="88" xfId="5" applyNumberFormat="1" applyFont="1" applyFill="1" applyBorder="1" applyAlignment="1" applyProtection="1">
      <alignment horizontal="center" vertical="center"/>
      <protection locked="0"/>
    </xf>
    <xf numFmtId="3" fontId="23" fillId="0" borderId="88" xfId="5" applyNumberFormat="1" applyFont="1" applyFill="1" applyBorder="1" applyAlignment="1" applyProtection="1">
      <alignment horizontal="center" vertical="center" wrapText="1"/>
      <protection locked="0"/>
    </xf>
    <xf numFmtId="2" fontId="23" fillId="0" borderId="88" xfId="5" applyNumberFormat="1" applyFont="1" applyFill="1" applyBorder="1" applyAlignment="1" applyProtection="1">
      <alignment horizontal="center" vertical="center" wrapText="1"/>
      <protection locked="0"/>
    </xf>
    <xf numFmtId="0" fontId="23" fillId="0" borderId="88" xfId="5" applyFont="1" applyFill="1" applyBorder="1" applyAlignment="1" applyProtection="1">
      <alignment horizontal="center" vertical="center"/>
      <protection locked="0"/>
    </xf>
    <xf numFmtId="0" fontId="62" fillId="0" borderId="0" xfId="5" applyFont="1" applyFill="1" applyBorder="1" applyAlignment="1" applyProtection="1">
      <alignment horizontal="left" vertical="top"/>
      <protection hidden="1"/>
    </xf>
    <xf numFmtId="0" fontId="27" fillId="0" borderId="88" xfId="5" applyFont="1" applyFill="1" applyBorder="1" applyAlignment="1" applyProtection="1">
      <alignment horizontal="center" vertical="center"/>
      <protection locked="0"/>
    </xf>
    <xf numFmtId="167" fontId="23" fillId="0" borderId="88" xfId="6" applyNumberFormat="1" applyFont="1" applyFill="1" applyBorder="1" applyAlignment="1" applyProtection="1">
      <alignment vertical="center" wrapText="1"/>
      <protection locked="0"/>
    </xf>
    <xf numFmtId="167" fontId="23" fillId="49" borderId="40" xfId="6" applyNumberFormat="1" applyFont="1" applyFill="1" applyBorder="1" applyAlignment="1" applyProtection="1">
      <alignment vertical="center" wrapText="1"/>
      <protection hidden="1"/>
    </xf>
    <xf numFmtId="167" fontId="23" fillId="49" borderId="55" xfId="6" applyNumberFormat="1" applyFont="1" applyFill="1" applyBorder="1" applyAlignment="1" applyProtection="1">
      <alignment vertical="center" wrapText="1"/>
      <protection hidden="1"/>
    </xf>
    <xf numFmtId="164" fontId="23" fillId="49" borderId="51" xfId="6" applyNumberFormat="1" applyFont="1" applyFill="1" applyBorder="1" applyAlignment="1" applyProtection="1">
      <alignment horizontal="right" vertical="center"/>
      <protection hidden="1"/>
    </xf>
    <xf numFmtId="164" fontId="23" fillId="49" borderId="43" xfId="6" applyNumberFormat="1" applyFont="1" applyFill="1" applyBorder="1" applyAlignment="1" applyProtection="1">
      <alignment horizontal="right" vertical="center"/>
      <protection hidden="1"/>
    </xf>
    <xf numFmtId="164" fontId="27" fillId="49" borderId="40" xfId="6" applyNumberFormat="1" applyFont="1" applyFill="1" applyBorder="1" applyAlignment="1" applyProtection="1">
      <alignment horizontal="right" vertical="center"/>
      <protection hidden="1"/>
    </xf>
    <xf numFmtId="3" fontId="27" fillId="49" borderId="40" xfId="6" applyNumberFormat="1" applyFont="1" applyFill="1" applyBorder="1" applyAlignment="1" applyProtection="1">
      <alignment horizontal="right" vertical="center"/>
      <protection hidden="1"/>
    </xf>
    <xf numFmtId="0" fontId="27" fillId="49" borderId="40" xfId="5" applyFont="1" applyFill="1" applyBorder="1" applyAlignment="1" applyProtection="1">
      <alignment horizontal="right" vertical="center"/>
      <protection hidden="1"/>
    </xf>
    <xf numFmtId="173" fontId="23" fillId="0" borderId="88" xfId="5" applyNumberFormat="1" applyFont="1" applyBorder="1" applyAlignment="1" applyProtection="1">
      <alignment vertical="center"/>
      <protection hidden="1"/>
    </xf>
    <xf numFmtId="9" fontId="23" fillId="49" borderId="55" xfId="54" applyNumberFormat="1" applyFont="1" applyFill="1" applyBorder="1" applyAlignment="1" applyProtection="1">
      <alignment horizontal="center" vertical="center" wrapText="1"/>
      <protection hidden="1"/>
    </xf>
    <xf numFmtId="9" fontId="23" fillId="49" borderId="40" xfId="54" applyNumberFormat="1" applyFont="1" applyFill="1" applyBorder="1" applyAlignment="1" applyProtection="1">
      <alignment horizontal="center" vertical="center" wrapText="1"/>
      <protection hidden="1"/>
    </xf>
    <xf numFmtId="0" fontId="25" fillId="0" borderId="64" xfId="3" applyFont="1" applyFill="1" applyBorder="1" applyAlignment="1" applyProtection="1">
      <alignment horizontal="left" vertical="center"/>
      <protection locked="0"/>
    </xf>
    <xf numFmtId="49" fontId="0" fillId="0" borderId="97" xfId="0" applyNumberFormat="1" applyFont="1" applyFill="1" applyBorder="1" applyAlignment="1" applyProtection="1">
      <alignment horizontal="center"/>
      <protection locked="0"/>
    </xf>
    <xf numFmtId="0" fontId="0" fillId="0" borderId="97" xfId="0" applyFont="1" applyFill="1" applyBorder="1" applyAlignment="1" applyProtection="1">
      <alignment horizontal="center" vertical="center"/>
      <protection locked="0"/>
    </xf>
    <xf numFmtId="0" fontId="23" fillId="0" borderId="97" xfId="5" applyFont="1" applyFill="1" applyBorder="1" applyAlignment="1" applyProtection="1">
      <alignment horizontal="center" vertical="center"/>
      <protection locked="0"/>
    </xf>
    <xf numFmtId="0" fontId="0" fillId="0" borderId="97" xfId="0" applyFont="1" applyFill="1" applyBorder="1" applyAlignment="1" applyProtection="1">
      <alignment horizontal="center"/>
      <protection locked="0"/>
    </xf>
    <xf numFmtId="0" fontId="0" fillId="0" borderId="98" xfId="0" applyFont="1" applyFill="1" applyBorder="1" applyAlignment="1" applyProtection="1">
      <alignment horizontal="center"/>
      <protection locked="0"/>
    </xf>
    <xf numFmtId="0" fontId="0" fillId="0" borderId="99" xfId="0" applyFont="1" applyFill="1" applyBorder="1" applyAlignment="1" applyProtection="1">
      <alignment horizontal="center"/>
      <protection locked="0"/>
    </xf>
    <xf numFmtId="0" fontId="0" fillId="0" borderId="100" xfId="0" applyFont="1" applyFill="1" applyBorder="1" applyAlignment="1" applyProtection="1">
      <alignment horizontal="center"/>
      <protection locked="0"/>
    </xf>
    <xf numFmtId="0" fontId="0" fillId="50" borderId="97" xfId="0" applyFont="1" applyFill="1" applyBorder="1" applyAlignment="1" applyProtection="1">
      <alignment horizontal="center"/>
      <protection hidden="1"/>
    </xf>
    <xf numFmtId="0" fontId="0" fillId="50" borderId="97" xfId="0" applyFont="1" applyFill="1" applyBorder="1" applyAlignment="1" applyProtection="1">
      <alignment horizontal="left"/>
      <protection hidden="1"/>
    </xf>
    <xf numFmtId="0" fontId="0" fillId="0" borderId="105" xfId="5" applyFont="1" applyFill="1" applyBorder="1" applyAlignment="1" applyProtection="1">
      <alignment vertical="center"/>
      <protection locked="0"/>
    </xf>
    <xf numFmtId="0" fontId="140" fillId="0" borderId="2" xfId="2" applyFont="1" applyAlignment="1" applyProtection="1">
      <alignment vertical="center"/>
    </xf>
    <xf numFmtId="3" fontId="87" fillId="0" borderId="97" xfId="239" applyNumberFormat="1" applyFont="1" applyFill="1" applyBorder="1" applyAlignment="1" applyProtection="1">
      <alignment horizontal="left" vertical="center" wrapText="1"/>
      <protection locked="0"/>
    </xf>
    <xf numFmtId="3" fontId="76" fillId="0" borderId="97" xfId="239" applyNumberFormat="1" applyFont="1" applyFill="1" applyBorder="1" applyAlignment="1" applyProtection="1">
      <alignment horizontal="left" vertical="center" wrapText="1"/>
      <protection locked="0"/>
    </xf>
    <xf numFmtId="3" fontId="62" fillId="0" borderId="0" xfId="236" applyNumberFormat="1" applyFont="1" applyFill="1" applyBorder="1" applyAlignment="1" applyProtection="1">
      <alignment horizontal="center" vertical="center"/>
      <protection hidden="1"/>
    </xf>
    <xf numFmtId="3" fontId="76" fillId="29" borderId="0" xfId="239" applyNumberFormat="1" applyFont="1" applyFill="1" applyBorder="1" applyAlignment="1" applyProtection="1">
      <alignment horizontal="left" vertical="center" wrapText="1"/>
      <protection hidden="1"/>
    </xf>
    <xf numFmtId="3" fontId="87" fillId="29" borderId="0" xfId="239" applyNumberFormat="1" applyFont="1" applyFill="1" applyBorder="1" applyAlignment="1" applyProtection="1">
      <alignment horizontal="left" vertical="center" wrapText="1"/>
      <protection hidden="1"/>
    </xf>
    <xf numFmtId="3" fontId="25" fillId="0" borderId="0" xfId="239" applyNumberFormat="1" applyFont="1" applyFill="1" applyBorder="1" applyAlignment="1" applyProtection="1">
      <alignment horizontal="left" vertical="center" wrapText="1"/>
      <protection hidden="1"/>
    </xf>
    <xf numFmtId="164" fontId="25" fillId="29" borderId="0" xfId="239" applyNumberFormat="1" applyFont="1" applyFill="1" applyBorder="1" applyAlignment="1" applyProtection="1">
      <alignment horizontal="left" vertical="center" wrapText="1"/>
      <protection hidden="1"/>
    </xf>
    <xf numFmtId="164" fontId="25" fillId="0" borderId="0" xfId="239" applyNumberFormat="1" applyFont="1" applyFill="1" applyBorder="1" applyAlignment="1" applyProtection="1">
      <alignment horizontal="left" vertical="center" wrapText="1"/>
      <protection hidden="1"/>
    </xf>
    <xf numFmtId="164" fontId="25" fillId="0" borderId="0" xfId="239" applyNumberFormat="1" applyFont="1" applyFill="1" applyBorder="1" applyAlignment="1" applyProtection="1">
      <alignment horizontal="center" vertical="center" wrapText="1"/>
      <protection hidden="1"/>
    </xf>
    <xf numFmtId="164" fontId="62" fillId="0" borderId="0" xfId="236" applyNumberFormat="1" applyFont="1" applyFill="1" applyBorder="1" applyAlignment="1" applyProtection="1">
      <alignment horizontal="center" vertical="center"/>
      <protection hidden="1"/>
    </xf>
    <xf numFmtId="3" fontId="27" fillId="0" borderId="0" xfId="0" applyNumberFormat="1" applyFont="1" applyFill="1" applyBorder="1" applyAlignment="1" applyProtection="1">
      <alignment horizontal="center" vertical="center" wrapText="1"/>
      <protection hidden="1"/>
    </xf>
    <xf numFmtId="3" fontId="130" fillId="0" borderId="0" xfId="239" applyNumberFormat="1" applyFont="1" applyFill="1" applyBorder="1" applyAlignment="1" applyProtection="1">
      <alignment horizontal="center" vertical="center" wrapText="1"/>
      <protection hidden="1"/>
    </xf>
    <xf numFmtId="3" fontId="76" fillId="0" borderId="0" xfId="239" applyNumberFormat="1" applyFont="1" applyFill="1" applyBorder="1" applyAlignment="1" applyProtection="1">
      <alignment horizontal="center" vertical="center" wrapText="1"/>
      <protection hidden="1"/>
    </xf>
    <xf numFmtId="176" fontId="88" fillId="0" borderId="0" xfId="239" applyNumberFormat="1" applyFont="1" applyFill="1" applyBorder="1" applyAlignment="1" applyProtection="1">
      <alignment horizontal="center" vertical="center" wrapText="1"/>
      <protection hidden="1"/>
    </xf>
    <xf numFmtId="49" fontId="62" fillId="0" borderId="0" xfId="236" applyNumberFormat="1" applyFont="1" applyFill="1" applyBorder="1" applyAlignment="1" applyProtection="1">
      <alignment horizontal="center" vertical="center"/>
      <protection hidden="1"/>
    </xf>
    <xf numFmtId="3" fontId="88" fillId="0" borderId="0" xfId="236" applyNumberFormat="1" applyFont="1" applyFill="1" applyBorder="1" applyAlignment="1" applyProtection="1">
      <alignment horizontal="left" vertical="center"/>
      <protection hidden="1"/>
    </xf>
    <xf numFmtId="3" fontId="25" fillId="0" borderId="0" xfId="236" applyNumberFormat="1" applyFont="1" applyFill="1" applyBorder="1" applyAlignment="1" applyProtection="1">
      <alignment horizontal="left" vertical="center"/>
      <protection hidden="1"/>
    </xf>
    <xf numFmtId="3" fontId="135" fillId="0" borderId="0" xfId="236" applyNumberFormat="1" applyFont="1" applyFill="1" applyBorder="1" applyAlignment="1" applyProtection="1">
      <alignment horizontal="center" vertical="center"/>
      <protection hidden="1"/>
    </xf>
    <xf numFmtId="3" fontId="94" fillId="0" borderId="0" xfId="237" applyNumberFormat="1" applyFont="1" applyFill="1" applyBorder="1" applyAlignment="1" applyProtection="1">
      <alignment horizontal="center" vertical="center"/>
      <protection hidden="1"/>
    </xf>
    <xf numFmtId="0" fontId="25" fillId="0" borderId="0" xfId="237" applyFont="1" applyFill="1" applyBorder="1" applyAlignment="1" applyProtection="1">
      <alignment horizontal="center" vertical="center"/>
      <protection hidden="1"/>
    </xf>
    <xf numFmtId="3" fontId="130" fillId="0" borderId="0" xfId="239" applyNumberFormat="1" applyFont="1" applyFill="1" applyBorder="1" applyAlignment="1" applyProtection="1">
      <alignment horizontal="left" vertical="center" wrapText="1"/>
      <protection hidden="1"/>
    </xf>
    <xf numFmtId="4" fontId="88" fillId="0" borderId="0" xfId="239" applyNumberFormat="1" applyFont="1" applyFill="1" applyBorder="1" applyAlignment="1" applyProtection="1">
      <alignment horizontal="left" vertical="center" wrapText="1"/>
      <protection hidden="1"/>
    </xf>
    <xf numFmtId="176" fontId="88" fillId="0" borderId="0" xfId="239" applyNumberFormat="1" applyFont="1" applyFill="1" applyBorder="1" applyAlignment="1" applyProtection="1">
      <alignment horizontal="left" vertical="center" wrapText="1"/>
      <protection hidden="1"/>
    </xf>
    <xf numFmtId="3" fontId="76" fillId="0" borderId="0" xfId="239" applyNumberFormat="1" applyFont="1" applyFill="1" applyBorder="1" applyAlignment="1" applyProtection="1">
      <alignment horizontal="left" vertical="center" wrapText="1"/>
      <protection hidden="1"/>
    </xf>
    <xf numFmtId="3" fontId="88" fillId="0" borderId="0" xfId="239" applyNumberFormat="1" applyFont="1" applyFill="1" applyBorder="1" applyAlignment="1" applyProtection="1">
      <alignment horizontal="left" vertical="center" wrapText="1"/>
      <protection hidden="1"/>
    </xf>
    <xf numFmtId="164" fontId="62" fillId="0" borderId="0" xfId="239" applyNumberFormat="1" applyFont="1" applyFill="1" applyBorder="1" applyAlignment="1" applyProtection="1">
      <alignment horizontal="left" vertical="center" wrapText="1"/>
      <protection hidden="1"/>
    </xf>
    <xf numFmtId="1" fontId="62" fillId="0" borderId="0" xfId="236" applyNumberFormat="1" applyFont="1" applyFill="1" applyBorder="1" applyAlignment="1" applyProtection="1">
      <alignment horizontal="center" vertical="center"/>
      <protection hidden="1"/>
    </xf>
    <xf numFmtId="3" fontId="129" fillId="0" borderId="0" xfId="1" applyNumberFormat="1" applyFont="1" applyFill="1" applyBorder="1" applyAlignment="1" applyProtection="1">
      <alignment horizontal="center" vertical="center"/>
      <protection hidden="1"/>
    </xf>
    <xf numFmtId="3" fontId="129" fillId="0" borderId="0" xfId="0" applyNumberFormat="1" applyFont="1" applyFill="1" applyBorder="1" applyAlignment="1" applyProtection="1">
      <alignment horizontal="right" vertical="center"/>
      <protection hidden="1"/>
    </xf>
    <xf numFmtId="3" fontId="129" fillId="0" borderId="40" xfId="236" applyNumberFormat="1" applyFont="1" applyFill="1" applyBorder="1" applyAlignment="1" applyProtection="1">
      <alignment horizontal="center" vertical="center"/>
      <protection hidden="1"/>
    </xf>
    <xf numFmtId="3" fontId="23" fillId="0" borderId="0" xfId="0" applyNumberFormat="1" applyFont="1" applyFill="1" applyBorder="1" applyAlignment="1" applyProtection="1">
      <alignment horizontal="right" vertical="center"/>
      <protection hidden="1"/>
    </xf>
    <xf numFmtId="3" fontId="62" fillId="0" borderId="0" xfId="236" applyNumberFormat="1" applyFont="1" applyFill="1" applyBorder="1" applyAlignment="1" applyProtection="1">
      <alignment horizontal="left" vertical="center"/>
      <protection hidden="1"/>
    </xf>
    <xf numFmtId="3" fontId="76" fillId="0" borderId="0" xfId="236" applyNumberFormat="1" applyFont="1" applyFill="1" applyBorder="1" applyAlignment="1" applyProtection="1">
      <alignment horizontal="right" vertical="center"/>
      <protection hidden="1"/>
    </xf>
    <xf numFmtId="3" fontId="130" fillId="0" borderId="0" xfId="0" applyNumberFormat="1" applyFont="1" applyFill="1" applyBorder="1" applyAlignment="1" applyProtection="1">
      <alignment horizontal="left" vertical="center"/>
      <protection hidden="1"/>
    </xf>
    <xf numFmtId="3" fontId="76" fillId="0" borderId="0" xfId="0" applyNumberFormat="1" applyFont="1" applyFill="1" applyBorder="1" applyAlignment="1" applyProtection="1">
      <alignment horizontal="left" vertical="center"/>
      <protection hidden="1"/>
    </xf>
    <xf numFmtId="3" fontId="88" fillId="0" borderId="0" xfId="0" applyNumberFormat="1" applyFont="1" applyFill="1" applyBorder="1" applyAlignment="1" applyProtection="1">
      <alignment horizontal="left" vertical="center"/>
      <protection hidden="1"/>
    </xf>
    <xf numFmtId="3" fontId="62" fillId="0" borderId="0" xfId="239" applyNumberFormat="1" applyFont="1" applyFill="1" applyBorder="1" applyAlignment="1" applyProtection="1">
      <alignment horizontal="left" vertical="center" wrapText="1"/>
      <protection hidden="1"/>
    </xf>
    <xf numFmtId="49" fontId="130" fillId="0" borderId="0" xfId="0" applyNumberFormat="1" applyFont="1" applyFill="1" applyBorder="1" applyAlignment="1" applyProtection="1">
      <alignment vertical="center"/>
      <protection hidden="1"/>
    </xf>
    <xf numFmtId="3" fontId="23" fillId="0" borderId="0" xfId="0" applyNumberFormat="1" applyFont="1" applyFill="1" applyBorder="1" applyAlignment="1" applyProtection="1">
      <alignment vertical="center"/>
      <protection hidden="1"/>
    </xf>
    <xf numFmtId="3" fontId="23" fillId="0" borderId="0" xfId="0" applyNumberFormat="1" applyFont="1" applyFill="1" applyBorder="1" applyAlignment="1" applyProtection="1">
      <alignment horizontal="left" vertical="center" wrapText="1"/>
      <protection hidden="1"/>
    </xf>
    <xf numFmtId="3" fontId="62" fillId="0" borderId="0" xfId="236" applyNumberFormat="1" applyFont="1" applyFill="1" applyBorder="1" applyAlignment="1" applyProtection="1">
      <alignment vertical="center"/>
      <protection hidden="1"/>
    </xf>
    <xf numFmtId="3" fontId="62" fillId="0" borderId="0" xfId="236" applyNumberFormat="1" applyFont="1" applyFill="1" applyBorder="1" applyAlignment="1" applyProtection="1">
      <alignment horizontal="center" vertical="top" wrapText="1"/>
      <protection hidden="1"/>
    </xf>
    <xf numFmtId="3" fontId="25" fillId="0" borderId="0" xfId="0" applyNumberFormat="1" applyFont="1" applyFill="1" applyBorder="1" applyAlignment="1" applyProtection="1">
      <alignment horizontal="left" vertical="center"/>
      <protection hidden="1"/>
    </xf>
    <xf numFmtId="3" fontId="87" fillId="0" borderId="107" xfId="239" applyNumberFormat="1" applyFont="1" applyFill="1" applyBorder="1" applyAlignment="1" applyProtection="1">
      <alignment horizontal="left" vertical="center" wrapText="1"/>
      <protection locked="0"/>
    </xf>
    <xf numFmtId="3" fontId="87" fillId="0" borderId="108" xfId="239" applyNumberFormat="1" applyFont="1" applyFill="1" applyBorder="1" applyAlignment="1" applyProtection="1">
      <alignment horizontal="left" vertical="center" wrapText="1"/>
      <protection locked="0"/>
    </xf>
    <xf numFmtId="49" fontId="27" fillId="0" borderId="97" xfId="0" applyNumberFormat="1" applyFont="1" applyFill="1" applyBorder="1" applyAlignment="1" applyProtection="1">
      <alignment vertical="center" wrapText="1"/>
      <protection locked="0"/>
    </xf>
    <xf numFmtId="3" fontId="27" fillId="0" borderId="43" xfId="0" applyNumberFormat="1" applyFont="1" applyFill="1" applyBorder="1" applyAlignment="1" applyProtection="1">
      <alignment horizontal="center" vertical="center" wrapText="1"/>
      <protection hidden="1"/>
    </xf>
    <xf numFmtId="3" fontId="62" fillId="0" borderId="43" xfId="236" applyNumberFormat="1" applyFont="1" applyFill="1" applyBorder="1" applyAlignment="1" applyProtection="1">
      <alignment horizontal="center" vertical="center"/>
      <protection hidden="1"/>
    </xf>
    <xf numFmtId="3" fontId="27" fillId="0" borderId="97" xfId="0" applyNumberFormat="1" applyFont="1" applyFill="1" applyBorder="1" applyAlignment="1" applyProtection="1">
      <alignment horizontal="center" vertical="center" wrapText="1"/>
      <protection hidden="1"/>
    </xf>
    <xf numFmtId="49" fontId="27" fillId="0" borderId="97" xfId="0" applyNumberFormat="1" applyFont="1" applyFill="1" applyBorder="1" applyAlignment="1" applyProtection="1">
      <alignment horizontal="center" vertical="center" wrapText="1"/>
      <protection locked="0"/>
    </xf>
    <xf numFmtId="3" fontId="76" fillId="50" borderId="0" xfId="239" applyNumberFormat="1" applyFont="1" applyFill="1" applyBorder="1" applyAlignment="1" applyProtection="1">
      <alignment horizontal="left" vertical="center" wrapText="1"/>
      <protection hidden="1"/>
    </xf>
    <xf numFmtId="164" fontId="25" fillId="50" borderId="0" xfId="239" applyNumberFormat="1" applyFont="1" applyFill="1" applyBorder="1" applyAlignment="1" applyProtection="1">
      <alignment horizontal="left" vertical="center" wrapText="1"/>
      <protection hidden="1"/>
    </xf>
    <xf numFmtId="176" fontId="88" fillId="50" borderId="0" xfId="239" applyNumberFormat="1" applyFont="1" applyFill="1" applyBorder="1" applyAlignment="1" applyProtection="1">
      <alignment horizontal="left" vertical="center" wrapText="1"/>
      <protection hidden="1"/>
    </xf>
    <xf numFmtId="3" fontId="130" fillId="50" borderId="52" xfId="239" applyNumberFormat="1" applyFont="1" applyFill="1" applyBorder="1" applyAlignment="1" applyProtection="1">
      <alignment horizontal="left" vertical="center" wrapText="1"/>
      <protection hidden="1"/>
    </xf>
    <xf numFmtId="3" fontId="76" fillId="50" borderId="52" xfId="239" applyNumberFormat="1" applyFont="1" applyFill="1" applyBorder="1" applyAlignment="1" applyProtection="1">
      <alignment horizontal="left" vertical="center" wrapText="1"/>
      <protection hidden="1"/>
    </xf>
    <xf numFmtId="3" fontId="130" fillId="0" borderId="49" xfId="0" applyNumberFormat="1" applyFont="1" applyBorder="1" applyAlignment="1" applyProtection="1">
      <alignment horizontal="left" vertical="center" wrapText="1"/>
      <protection hidden="1"/>
    </xf>
    <xf numFmtId="3" fontId="130" fillId="0" borderId="49" xfId="0" applyNumberFormat="1" applyFont="1" applyBorder="1" applyAlignment="1" applyProtection="1">
      <alignment horizontal="left" vertical="center"/>
      <protection hidden="1"/>
    </xf>
    <xf numFmtId="3" fontId="130" fillId="50" borderId="56" xfId="239" applyNumberFormat="1" applyFont="1" applyFill="1" applyBorder="1" applyAlignment="1" applyProtection="1">
      <alignment horizontal="left" vertical="center" wrapText="1"/>
      <protection hidden="1"/>
    </xf>
    <xf numFmtId="3" fontId="130" fillId="29" borderId="55" xfId="0" applyNumberFormat="1" applyFont="1" applyFill="1" applyBorder="1" applyAlignment="1" applyProtection="1">
      <alignment horizontal="left" vertical="center" wrapText="1"/>
      <protection hidden="1"/>
    </xf>
    <xf numFmtId="3" fontId="34" fillId="48" borderId="97" xfId="236" applyNumberFormat="1" applyFont="1" applyFill="1" applyBorder="1" applyAlignment="1" applyProtection="1">
      <alignment vertical="center"/>
      <protection hidden="1"/>
    </xf>
    <xf numFmtId="3" fontId="126" fillId="48" borderId="97" xfId="236" applyNumberFormat="1" applyFont="1" applyFill="1" applyBorder="1" applyAlignment="1" applyProtection="1">
      <alignment horizontal="center" vertical="center"/>
      <protection hidden="1"/>
    </xf>
    <xf numFmtId="3" fontId="25" fillId="50" borderId="52" xfId="239" applyNumberFormat="1" applyFont="1" applyFill="1" applyBorder="1" applyAlignment="1" applyProtection="1">
      <alignment horizontal="left" vertical="center" wrapText="1"/>
      <protection hidden="1"/>
    </xf>
    <xf numFmtId="164" fontId="25" fillId="50" borderId="52" xfId="239" applyNumberFormat="1" applyFont="1" applyFill="1" applyBorder="1" applyAlignment="1" applyProtection="1">
      <alignment horizontal="left" vertical="center" wrapText="1"/>
      <protection hidden="1"/>
    </xf>
    <xf numFmtId="4" fontId="88" fillId="50" borderId="52" xfId="239" applyNumberFormat="1" applyFont="1" applyFill="1" applyBorder="1" applyAlignment="1" applyProtection="1">
      <alignment horizontal="left" vertical="center" wrapText="1"/>
      <protection hidden="1"/>
    </xf>
    <xf numFmtId="3" fontId="25" fillId="0" borderId="52" xfId="239" applyNumberFormat="1" applyFont="1" applyFill="1" applyBorder="1" applyAlignment="1" applyProtection="1">
      <alignment horizontal="left" vertical="center" wrapText="1"/>
      <protection hidden="1"/>
    </xf>
    <xf numFmtId="164" fontId="25" fillId="29" borderId="52" xfId="239" applyNumberFormat="1" applyFont="1" applyFill="1" applyBorder="1" applyAlignment="1" applyProtection="1">
      <alignment horizontal="left" vertical="center" wrapText="1"/>
      <protection hidden="1"/>
    </xf>
    <xf numFmtId="164" fontId="25" fillId="0" borderId="52" xfId="239" applyNumberFormat="1" applyFont="1" applyFill="1" applyBorder="1" applyAlignment="1" applyProtection="1">
      <alignment horizontal="left" vertical="center" wrapText="1"/>
      <protection hidden="1"/>
    </xf>
    <xf numFmtId="4" fontId="88" fillId="0" borderId="52" xfId="239" applyNumberFormat="1" applyFont="1" applyFill="1" applyBorder="1" applyAlignment="1" applyProtection="1">
      <alignment horizontal="left" vertical="center" wrapText="1"/>
      <protection hidden="1"/>
    </xf>
    <xf numFmtId="3" fontId="25" fillId="50" borderId="56" xfId="239" applyNumberFormat="1" applyFont="1" applyFill="1" applyBorder="1" applyAlignment="1" applyProtection="1">
      <alignment horizontal="left" vertical="center" wrapText="1"/>
      <protection hidden="1"/>
    </xf>
    <xf numFmtId="165" fontId="25" fillId="0" borderId="97" xfId="239" applyNumberFormat="1" applyFont="1" applyFill="1" applyBorder="1" applyAlignment="1" applyProtection="1">
      <alignment horizontal="left" vertical="center" wrapText="1"/>
      <protection locked="0"/>
    </xf>
    <xf numFmtId="165" fontId="25" fillId="50" borderId="52" xfId="239" applyNumberFormat="1" applyFont="1" applyFill="1" applyBorder="1" applyAlignment="1" applyProtection="1">
      <alignment horizontal="left" vertical="center" wrapText="1"/>
      <protection hidden="1"/>
    </xf>
    <xf numFmtId="3" fontId="88" fillId="50" borderId="52" xfId="239" applyNumberFormat="1" applyFont="1" applyFill="1" applyBorder="1" applyAlignment="1" applyProtection="1">
      <alignment horizontal="left" vertical="center" wrapText="1"/>
      <protection hidden="1"/>
    </xf>
    <xf numFmtId="164" fontId="25" fillId="0" borderId="97" xfId="239" applyNumberFormat="1" applyFont="1" applyFill="1" applyBorder="1" applyAlignment="1" applyProtection="1">
      <alignment horizontal="left" vertical="center" wrapText="1"/>
      <protection locked="0"/>
    </xf>
    <xf numFmtId="164" fontId="25" fillId="0" borderId="107" xfId="239" applyNumberFormat="1" applyFont="1" applyFill="1" applyBorder="1" applyAlignment="1" applyProtection="1">
      <alignment horizontal="left" vertical="center" wrapText="1"/>
      <protection locked="0"/>
    </xf>
    <xf numFmtId="3" fontId="62" fillId="0" borderId="55" xfId="236" applyNumberFormat="1" applyFont="1" applyFill="1" applyBorder="1" applyAlignment="1" applyProtection="1">
      <alignment horizontal="left" vertical="center" wrapText="1"/>
      <protection hidden="1"/>
    </xf>
    <xf numFmtId="3" fontId="62" fillId="0" borderId="49" xfId="239" applyNumberFormat="1" applyFont="1" applyFill="1" applyBorder="1" applyAlignment="1" applyProtection="1">
      <alignment horizontal="left" vertical="center" wrapText="1"/>
      <protection hidden="1"/>
    </xf>
    <xf numFmtId="3" fontId="143" fillId="47" borderId="88" xfId="236" applyNumberFormat="1" applyFont="1" applyFill="1" applyBorder="1" applyAlignment="1" applyProtection="1">
      <alignment horizontal="left" vertical="center"/>
      <protection hidden="1"/>
    </xf>
    <xf numFmtId="3" fontId="143" fillId="47" borderId="88" xfId="236" applyNumberFormat="1" applyFont="1" applyFill="1" applyBorder="1" applyAlignment="1" applyProtection="1">
      <alignment vertical="center"/>
      <protection hidden="1"/>
    </xf>
    <xf numFmtId="3" fontId="143" fillId="47" borderId="120" xfId="236" applyNumberFormat="1" applyFont="1" applyFill="1" applyBorder="1" applyAlignment="1" applyProtection="1">
      <alignment vertical="center"/>
      <protection hidden="1"/>
    </xf>
    <xf numFmtId="3" fontId="62" fillId="29" borderId="59" xfId="236" applyNumberFormat="1" applyFont="1" applyFill="1" applyBorder="1" applyAlignment="1" applyProtection="1">
      <alignment horizontal="right" vertical="center" wrapText="1"/>
      <protection hidden="1"/>
    </xf>
    <xf numFmtId="3" fontId="62" fillId="29" borderId="44" xfId="239" applyNumberFormat="1" applyFont="1" applyFill="1" applyBorder="1" applyAlignment="1" applyProtection="1">
      <alignment horizontal="left" vertical="center" wrapText="1"/>
      <protection hidden="1"/>
    </xf>
    <xf numFmtId="164" fontId="62" fillId="50" borderId="95" xfId="239" applyNumberFormat="1" applyFont="1" applyFill="1" applyBorder="1" applyAlignment="1" applyProtection="1">
      <alignment horizontal="left" vertical="center" wrapText="1"/>
      <protection hidden="1"/>
    </xf>
    <xf numFmtId="164" fontId="62" fillId="50" borderId="65" xfId="239" applyNumberFormat="1" applyFont="1" applyFill="1" applyBorder="1" applyAlignment="1" applyProtection="1">
      <alignment horizontal="left" vertical="center" wrapText="1"/>
      <protection hidden="1"/>
    </xf>
    <xf numFmtId="3" fontId="76" fillId="0" borderId="65" xfId="236" applyNumberFormat="1" applyFont="1" applyFill="1" applyBorder="1" applyAlignment="1" applyProtection="1">
      <alignment horizontal="right" vertical="center"/>
      <protection hidden="1"/>
    </xf>
    <xf numFmtId="176" fontId="88" fillId="50" borderId="65" xfId="239" applyNumberFormat="1" applyFont="1" applyFill="1" applyBorder="1" applyAlignment="1" applyProtection="1">
      <alignment horizontal="left" vertical="center" wrapText="1"/>
      <protection hidden="1"/>
    </xf>
    <xf numFmtId="176" fontId="88" fillId="0" borderId="65" xfId="239" applyNumberFormat="1" applyFont="1" applyFill="1" applyBorder="1" applyAlignment="1" applyProtection="1">
      <alignment horizontal="left" vertical="center" wrapText="1"/>
      <protection hidden="1"/>
    </xf>
    <xf numFmtId="3" fontId="130" fillId="0" borderId="59" xfId="0" applyNumberFormat="1" applyFont="1" applyBorder="1" applyAlignment="1" applyProtection="1">
      <alignment horizontal="left" vertical="center" wrapText="1"/>
      <protection hidden="1"/>
    </xf>
    <xf numFmtId="3" fontId="130" fillId="0" borderId="44" xfId="0" applyNumberFormat="1" applyFont="1" applyBorder="1" applyAlignment="1" applyProtection="1">
      <alignment horizontal="left" vertical="center"/>
      <protection hidden="1"/>
    </xf>
    <xf numFmtId="3" fontId="130" fillId="50" borderId="65" xfId="239" applyNumberFormat="1" applyFont="1" applyFill="1" applyBorder="1" applyAlignment="1" applyProtection="1">
      <alignment horizontal="left" vertical="center" wrapText="1"/>
      <protection hidden="1"/>
    </xf>
    <xf numFmtId="3" fontId="25" fillId="29" borderId="121" xfId="236" applyNumberFormat="1" applyFont="1" applyFill="1" applyBorder="1" applyAlignment="1" applyProtection="1">
      <alignment horizontal="right" vertical="center" wrapText="1"/>
      <protection hidden="1"/>
    </xf>
    <xf numFmtId="3" fontId="25" fillId="29" borderId="47" xfId="239" applyNumberFormat="1" applyFont="1" applyFill="1" applyBorder="1" applyAlignment="1" applyProtection="1">
      <alignment horizontal="left" vertical="center" wrapText="1"/>
      <protection hidden="1"/>
    </xf>
    <xf numFmtId="164" fontId="25" fillId="0" borderId="122" xfId="239" applyNumberFormat="1" applyFont="1" applyFill="1" applyBorder="1" applyAlignment="1" applyProtection="1">
      <alignment horizontal="left" vertical="center" wrapText="1"/>
      <protection locked="0"/>
    </xf>
    <xf numFmtId="164" fontId="25" fillId="50" borderId="95" xfId="239" applyNumberFormat="1" applyFont="1" applyFill="1" applyBorder="1" applyAlignment="1" applyProtection="1">
      <alignment horizontal="left" vertical="center" wrapText="1"/>
      <protection hidden="1"/>
    </xf>
    <xf numFmtId="3" fontId="25" fillId="29" borderId="49" xfId="236" applyNumberFormat="1" applyFont="1" applyFill="1" applyBorder="1" applyAlignment="1" applyProtection="1">
      <alignment horizontal="left" vertical="center" wrapText="1"/>
      <protection hidden="1"/>
    </xf>
    <xf numFmtId="164" fontId="25" fillId="0" borderId="108" xfId="239" applyNumberFormat="1" applyFont="1" applyFill="1" applyBorder="1" applyAlignment="1" applyProtection="1">
      <alignment horizontal="left" vertical="center" wrapText="1"/>
      <protection locked="0"/>
    </xf>
    <xf numFmtId="164" fontId="25" fillId="50" borderId="56" xfId="239" applyNumberFormat="1" applyFont="1" applyFill="1" applyBorder="1" applyAlignment="1" applyProtection="1">
      <alignment horizontal="left" vertical="center" wrapText="1"/>
      <protection hidden="1"/>
    </xf>
    <xf numFmtId="3" fontId="76" fillId="29" borderId="55" xfId="0" applyNumberFormat="1" applyFont="1" applyFill="1" applyBorder="1" applyAlignment="1" applyProtection="1">
      <alignment horizontal="left" vertical="center" wrapText="1"/>
      <protection hidden="1"/>
    </xf>
    <xf numFmtId="3" fontId="76" fillId="0" borderId="108" xfId="239" applyNumberFormat="1" applyFont="1" applyFill="1" applyBorder="1" applyAlignment="1" applyProtection="1">
      <alignment horizontal="left" vertical="center" wrapText="1"/>
      <protection locked="0"/>
    </xf>
    <xf numFmtId="3" fontId="130" fillId="0" borderId="55" xfId="0" applyNumberFormat="1" applyFont="1" applyFill="1" applyBorder="1" applyAlignment="1" applyProtection="1">
      <alignment horizontal="left" vertical="center" wrapText="1"/>
      <protection hidden="1"/>
    </xf>
    <xf numFmtId="3" fontId="130" fillId="0" borderId="49" xfId="0" applyNumberFormat="1" applyFont="1" applyFill="1" applyBorder="1" applyAlignment="1" applyProtection="1">
      <alignment horizontal="left" vertical="center"/>
      <protection hidden="1"/>
    </xf>
    <xf numFmtId="3" fontId="143" fillId="47" borderId="88" xfId="236" applyNumberFormat="1" applyFont="1" applyFill="1" applyBorder="1" applyAlignment="1" applyProtection="1">
      <alignment horizontal="left" vertical="center" wrapText="1"/>
      <protection hidden="1"/>
    </xf>
    <xf numFmtId="3" fontId="62" fillId="29" borderId="45" xfId="236" applyNumberFormat="1" applyFont="1" applyFill="1" applyBorder="1" applyAlignment="1" applyProtection="1">
      <alignment horizontal="centerContinuous" vertical="center"/>
      <protection hidden="1"/>
    </xf>
    <xf numFmtId="3" fontId="62" fillId="0" borderId="0" xfId="237" applyNumberFormat="1" applyFont="1" applyFill="1" applyBorder="1" applyAlignment="1" applyProtection="1">
      <alignment horizontal="center" vertical="center" wrapText="1"/>
      <protection hidden="1"/>
    </xf>
    <xf numFmtId="3" fontId="62" fillId="0" borderId="0" xfId="237" applyNumberFormat="1" applyFont="1" applyFill="1" applyBorder="1" applyAlignment="1" applyProtection="1">
      <alignment horizontal="center" vertical="center"/>
      <protection hidden="1"/>
    </xf>
    <xf numFmtId="3" fontId="87" fillId="0" borderId="0" xfId="239" applyNumberFormat="1" applyFont="1" applyFill="1" applyBorder="1" applyAlignment="1" applyProtection="1">
      <alignment horizontal="left" vertical="center" wrapText="1"/>
      <protection hidden="1"/>
    </xf>
    <xf numFmtId="165" fontId="25" fillId="0" borderId="0" xfId="239" applyNumberFormat="1" applyFont="1" applyFill="1" applyBorder="1" applyAlignment="1" applyProtection="1">
      <alignment horizontal="left" vertical="center" wrapText="1"/>
      <protection hidden="1"/>
    </xf>
    <xf numFmtId="49" fontId="27" fillId="0" borderId="0" xfId="0" applyNumberFormat="1" applyFont="1" applyFill="1" applyBorder="1" applyAlignment="1" applyProtection="1">
      <alignment vertical="center" wrapText="1"/>
      <protection hidden="1"/>
    </xf>
    <xf numFmtId="14" fontId="130" fillId="0" borderId="0" xfId="0" applyNumberFormat="1" applyFont="1" applyFill="1" applyBorder="1" applyAlignment="1" applyProtection="1">
      <alignment horizontal="left" vertical="center"/>
      <protection hidden="1"/>
    </xf>
    <xf numFmtId="165" fontId="25" fillId="0" borderId="0" xfId="4" applyNumberFormat="1" applyFont="1" applyFill="1" applyBorder="1" applyAlignment="1" applyProtection="1">
      <alignment horizontal="left" vertical="center" wrapText="1"/>
      <protection hidden="1"/>
    </xf>
    <xf numFmtId="165" fontId="25" fillId="0" borderId="97" xfId="4" applyNumberFormat="1" applyFont="1" applyFill="1" applyBorder="1" applyAlignment="1" applyProtection="1">
      <alignment horizontal="left" vertical="center" wrapText="1"/>
      <protection locked="0"/>
    </xf>
    <xf numFmtId="3" fontId="130" fillId="50" borderId="95" xfId="239" applyNumberFormat="1" applyFont="1" applyFill="1" applyBorder="1" applyAlignment="1" applyProtection="1">
      <alignment horizontal="left" vertical="center" wrapText="1"/>
      <protection hidden="1"/>
    </xf>
    <xf numFmtId="3" fontId="71" fillId="29" borderId="0" xfId="236" applyNumberFormat="1" applyFont="1" applyFill="1" applyBorder="1" applyAlignment="1" applyProtection="1">
      <alignment horizontal="right" vertical="center"/>
      <protection hidden="1"/>
    </xf>
    <xf numFmtId="3" fontId="62" fillId="0" borderId="40" xfId="239" applyNumberFormat="1" applyFont="1" applyFill="1" applyBorder="1" applyAlignment="1" applyProtection="1">
      <alignment horizontal="left" vertical="center" wrapText="1"/>
      <protection hidden="1"/>
    </xf>
    <xf numFmtId="0" fontId="34" fillId="48" borderId="52" xfId="256" applyFont="1" applyFill="1" applyBorder="1" applyAlignment="1" applyProtection="1">
      <alignment vertical="center"/>
      <protection hidden="1"/>
    </xf>
    <xf numFmtId="0" fontId="34" fillId="48" borderId="52" xfId="256" applyFont="1" applyFill="1" applyBorder="1" applyAlignment="1" applyProtection="1">
      <alignment horizontal="center" wrapText="1"/>
      <protection hidden="1"/>
    </xf>
    <xf numFmtId="0" fontId="90" fillId="50" borderId="52" xfId="269" applyFont="1" applyFill="1" applyBorder="1" applyAlignment="1" applyProtection="1">
      <alignment vertical="center" wrapText="1"/>
      <protection hidden="1"/>
    </xf>
    <xf numFmtId="0" fontId="144" fillId="29" borderId="0" xfId="256" applyFont="1" applyFill="1" applyBorder="1" applyAlignment="1" applyProtection="1">
      <alignment horizontal="right" vertical="center"/>
      <protection hidden="1"/>
    </xf>
    <xf numFmtId="0" fontId="25" fillId="50" borderId="55" xfId="256" applyFont="1" applyFill="1" applyBorder="1" applyAlignment="1" applyProtection="1">
      <alignment vertical="center"/>
      <protection hidden="1"/>
    </xf>
    <xf numFmtId="0" fontId="25" fillId="50" borderId="40" xfId="256" applyFont="1" applyFill="1" applyBorder="1" applyAlignment="1" applyProtection="1">
      <alignment vertical="center"/>
      <protection hidden="1"/>
    </xf>
    <xf numFmtId="3" fontId="130" fillId="50" borderId="55" xfId="239" applyNumberFormat="1" applyFont="1" applyFill="1" applyBorder="1" applyAlignment="1" applyProtection="1">
      <alignment horizontal="center" vertical="center"/>
      <protection hidden="1"/>
    </xf>
    <xf numFmtId="3" fontId="76" fillId="50" borderId="55" xfId="239" applyNumberFormat="1" applyFont="1" applyFill="1" applyBorder="1" applyAlignment="1" applyProtection="1">
      <alignment horizontal="center" vertical="center"/>
      <protection hidden="1"/>
    </xf>
    <xf numFmtId="1" fontId="88" fillId="50" borderId="55" xfId="239" applyNumberFormat="1" applyFont="1" applyFill="1" applyBorder="1" applyAlignment="1" applyProtection="1">
      <alignment horizontal="center" vertical="center"/>
      <protection hidden="1"/>
    </xf>
    <xf numFmtId="164" fontId="25" fillId="50" borderId="55" xfId="239" applyNumberFormat="1" applyFont="1" applyFill="1" applyBorder="1" applyAlignment="1" applyProtection="1">
      <alignment horizontal="center" vertical="center"/>
      <protection hidden="1"/>
    </xf>
    <xf numFmtId="164" fontId="25" fillId="50" borderId="55" xfId="249" applyNumberFormat="1" applyFont="1" applyFill="1" applyBorder="1" applyAlignment="1" applyProtection="1">
      <alignment horizontal="center" vertical="center"/>
      <protection hidden="1"/>
    </xf>
    <xf numFmtId="1" fontId="25" fillId="50" borderId="55" xfId="249" applyNumberFormat="1" applyFont="1" applyFill="1" applyBorder="1" applyAlignment="1" applyProtection="1">
      <alignment horizontal="center" vertical="center"/>
      <protection hidden="1"/>
    </xf>
    <xf numFmtId="3" fontId="130" fillId="50" borderId="40" xfId="239" applyNumberFormat="1" applyFont="1" applyFill="1" applyBorder="1" applyAlignment="1" applyProtection="1">
      <alignment horizontal="center" vertical="center"/>
      <protection hidden="1"/>
    </xf>
    <xf numFmtId="3" fontId="76" fillId="50" borderId="40" xfId="239" applyNumberFormat="1" applyFont="1" applyFill="1" applyBorder="1" applyAlignment="1" applyProtection="1">
      <alignment horizontal="center" vertical="center"/>
      <protection hidden="1"/>
    </xf>
    <xf numFmtId="1" fontId="88" fillId="50" borderId="40" xfId="239" applyNumberFormat="1" applyFont="1" applyFill="1" applyBorder="1" applyAlignment="1" applyProtection="1">
      <alignment horizontal="center" vertical="center"/>
      <protection hidden="1"/>
    </xf>
    <xf numFmtId="164" fontId="25" fillId="50" borderId="40" xfId="239" applyNumberFormat="1" applyFont="1" applyFill="1" applyBorder="1" applyAlignment="1" applyProtection="1">
      <alignment horizontal="center" vertical="center"/>
      <protection hidden="1"/>
    </xf>
    <xf numFmtId="164" fontId="25" fillId="50" borderId="40" xfId="249" applyNumberFormat="1" applyFont="1" applyFill="1" applyBorder="1" applyAlignment="1" applyProtection="1">
      <alignment horizontal="center" vertical="center"/>
      <protection hidden="1"/>
    </xf>
    <xf numFmtId="1" fontId="25" fillId="50" borderId="40" xfId="249" applyNumberFormat="1" applyFont="1" applyFill="1" applyBorder="1" applyAlignment="1" applyProtection="1">
      <alignment horizontal="center" vertical="center"/>
      <protection hidden="1"/>
    </xf>
    <xf numFmtId="3" fontId="129" fillId="50" borderId="40" xfId="239" applyNumberFormat="1" applyFont="1" applyFill="1" applyBorder="1" applyAlignment="1" applyProtection="1">
      <alignment horizontal="center" vertical="center"/>
      <protection hidden="1"/>
    </xf>
    <xf numFmtId="3" fontId="71" fillId="50" borderId="40" xfId="239" applyNumberFormat="1" applyFont="1" applyFill="1" applyBorder="1" applyAlignment="1" applyProtection="1">
      <alignment horizontal="center" vertical="center"/>
      <protection hidden="1"/>
    </xf>
    <xf numFmtId="3" fontId="86" fillId="50" borderId="40" xfId="239" applyNumberFormat="1" applyFont="1" applyFill="1" applyBorder="1" applyAlignment="1" applyProtection="1">
      <alignment horizontal="center" vertical="center"/>
      <protection hidden="1"/>
    </xf>
    <xf numFmtId="164" fontId="62" fillId="50" borderId="40" xfId="239" applyNumberFormat="1" applyFont="1" applyFill="1" applyBorder="1" applyAlignment="1" applyProtection="1">
      <alignment horizontal="center" vertical="center"/>
      <protection hidden="1"/>
    </xf>
    <xf numFmtId="3" fontId="62" fillId="50" borderId="40" xfId="239" applyNumberFormat="1" applyFont="1" applyFill="1" applyBorder="1" applyAlignment="1" applyProtection="1">
      <alignment horizontal="center" vertical="center"/>
      <protection hidden="1"/>
    </xf>
    <xf numFmtId="1" fontId="62" fillId="50" borderId="40" xfId="249" applyNumberFormat="1" applyFont="1" applyFill="1" applyBorder="1" applyAlignment="1" applyProtection="1">
      <alignment horizontal="center" vertical="center"/>
      <protection hidden="1"/>
    </xf>
    <xf numFmtId="0" fontId="101" fillId="51" borderId="40" xfId="256" applyFont="1" applyFill="1" applyBorder="1" applyAlignment="1" applyProtection="1">
      <alignment vertical="center"/>
      <protection hidden="1"/>
    </xf>
    <xf numFmtId="3" fontId="101" fillId="51" borderId="40" xfId="256" applyNumberFormat="1" applyFont="1" applyFill="1" applyBorder="1" applyAlignment="1" applyProtection="1">
      <alignment horizontal="right" vertical="center"/>
      <protection hidden="1"/>
    </xf>
    <xf numFmtId="3" fontId="101" fillId="51" borderId="40" xfId="239" applyNumberFormat="1" applyFont="1" applyFill="1" applyBorder="1" applyAlignment="1" applyProtection="1">
      <alignment vertical="center" wrapText="1"/>
      <protection hidden="1"/>
    </xf>
    <xf numFmtId="49" fontId="25" fillId="50" borderId="0" xfId="256" applyNumberFormat="1" applyFont="1" applyFill="1" applyBorder="1" applyAlignment="1" applyProtection="1">
      <alignment horizontal="center" vertical="center"/>
      <protection hidden="1"/>
    </xf>
    <xf numFmtId="49" fontId="25" fillId="50" borderId="42" xfId="256" applyNumberFormat="1" applyFont="1" applyFill="1" applyBorder="1" applyAlignment="1" applyProtection="1">
      <alignment horizontal="center" vertical="center"/>
      <protection hidden="1"/>
    </xf>
    <xf numFmtId="3" fontId="25" fillId="50" borderId="42" xfId="256" applyNumberFormat="1" applyFont="1" applyFill="1" applyBorder="1" applyAlignment="1" applyProtection="1">
      <alignment horizontal="center" vertical="center"/>
      <protection hidden="1"/>
    </xf>
    <xf numFmtId="0" fontId="25" fillId="50" borderId="42" xfId="256" applyFont="1" applyFill="1" applyBorder="1" applyAlignment="1" applyProtection="1">
      <alignment vertical="center"/>
      <protection hidden="1"/>
    </xf>
    <xf numFmtId="0" fontId="25" fillId="50" borderId="42" xfId="256" applyFont="1" applyFill="1" applyBorder="1" applyAlignment="1" applyProtection="1">
      <alignment horizontal="left" vertical="center"/>
      <protection hidden="1"/>
    </xf>
    <xf numFmtId="3" fontId="25" fillId="50" borderId="42" xfId="256" applyNumberFormat="1" applyFont="1" applyFill="1" applyBorder="1" applyAlignment="1" applyProtection="1">
      <alignment horizontal="left" vertical="center"/>
      <protection hidden="1"/>
    </xf>
    <xf numFmtId="0" fontId="25" fillId="50" borderId="42" xfId="256" applyFont="1" applyFill="1" applyBorder="1" applyAlignment="1" applyProtection="1">
      <alignment horizontal="center" vertical="center"/>
      <protection hidden="1"/>
    </xf>
    <xf numFmtId="0" fontId="25" fillId="50" borderId="0" xfId="256" applyFont="1" applyFill="1" applyBorder="1" applyAlignment="1" applyProtection="1">
      <alignment vertical="center"/>
      <protection hidden="1"/>
    </xf>
    <xf numFmtId="172" fontId="25" fillId="50" borderId="42" xfId="256" applyNumberFormat="1" applyFont="1" applyFill="1" applyBorder="1" applyAlignment="1" applyProtection="1">
      <alignment horizontal="center" vertical="center" wrapText="1"/>
      <protection hidden="1"/>
    </xf>
    <xf numFmtId="0" fontId="82" fillId="50" borderId="0" xfId="5" applyFont="1" applyFill="1" applyBorder="1" applyAlignment="1" applyProtection="1">
      <alignment horizontal="center" vertical="center"/>
      <protection hidden="1"/>
    </xf>
    <xf numFmtId="3" fontId="130" fillId="50" borderId="42" xfId="239" applyNumberFormat="1" applyFont="1" applyFill="1" applyBorder="1" applyAlignment="1" applyProtection="1">
      <alignment horizontal="center" vertical="center"/>
      <protection hidden="1"/>
    </xf>
    <xf numFmtId="3" fontId="76" fillId="50" borderId="42" xfId="239" applyNumberFormat="1" applyFont="1" applyFill="1" applyBorder="1" applyAlignment="1" applyProtection="1">
      <alignment horizontal="center" vertical="center"/>
      <protection hidden="1"/>
    </xf>
    <xf numFmtId="164" fontId="25" fillId="50" borderId="42" xfId="249" applyNumberFormat="1" applyFont="1" applyFill="1" applyBorder="1" applyAlignment="1" applyProtection="1">
      <alignment horizontal="center" vertical="center"/>
      <protection hidden="1"/>
    </xf>
    <xf numFmtId="5" fontId="25" fillId="50" borderId="42" xfId="249" applyNumberFormat="1" applyFont="1" applyFill="1" applyBorder="1" applyAlignment="1" applyProtection="1">
      <alignment horizontal="center" vertical="center"/>
      <protection hidden="1"/>
    </xf>
    <xf numFmtId="3" fontId="88" fillId="50" borderId="42" xfId="239" applyNumberFormat="1" applyFont="1" applyFill="1" applyBorder="1" applyAlignment="1" applyProtection="1">
      <alignment horizontal="center" vertical="center"/>
      <protection hidden="1"/>
    </xf>
    <xf numFmtId="0" fontId="23" fillId="49" borderId="40" xfId="5" applyNumberFormat="1" applyFont="1" applyFill="1" applyBorder="1" applyAlignment="1" applyProtection="1">
      <alignment horizontal="center" vertical="center"/>
      <protection hidden="1"/>
    </xf>
    <xf numFmtId="0" fontId="0" fillId="0" borderId="0" xfId="258" applyFont="1" applyFill="1"/>
    <xf numFmtId="0" fontId="23" fillId="0" borderId="0" xfId="258" applyFont="1" applyFill="1"/>
    <xf numFmtId="0" fontId="23" fillId="0" borderId="0" xfId="258" applyFont="1" applyFill="1" applyAlignment="1"/>
    <xf numFmtId="0" fontId="25" fillId="0" borderId="0" xfId="258" applyFont="1" applyFill="1" applyAlignment="1">
      <alignment vertical="center"/>
    </xf>
    <xf numFmtId="0" fontId="53" fillId="0" borderId="0" xfId="258" applyFont="1" applyFill="1" applyAlignment="1">
      <alignment vertical="center"/>
    </xf>
    <xf numFmtId="0" fontId="5" fillId="0" borderId="0" xfId="5" applyFont="1"/>
    <xf numFmtId="0" fontId="23" fillId="52" borderId="0" xfId="258" applyFont="1" applyFill="1" applyAlignment="1">
      <alignment horizontal="left"/>
    </xf>
    <xf numFmtId="0" fontId="23" fillId="52" borderId="0" xfId="258" applyFont="1" applyFill="1" applyAlignment="1">
      <alignment horizontal="right"/>
    </xf>
    <xf numFmtId="0" fontId="25" fillId="52" borderId="0" xfId="258" applyFont="1" applyFill="1" applyAlignment="1">
      <alignment horizontal="left" vertical="center"/>
    </xf>
    <xf numFmtId="0" fontId="25" fillId="52" borderId="0" xfId="258" applyFont="1" applyFill="1" applyAlignment="1">
      <alignment horizontal="right" vertical="center"/>
    </xf>
    <xf numFmtId="0" fontId="53" fillId="52" borderId="0" xfId="258" applyFont="1" applyFill="1" applyAlignment="1">
      <alignment horizontal="left" vertical="center"/>
    </xf>
    <xf numFmtId="0" fontId="53" fillId="52" borderId="0" xfId="258" applyFont="1" applyFill="1" applyAlignment="1">
      <alignment horizontal="right" vertical="center"/>
    </xf>
    <xf numFmtId="0" fontId="53" fillId="52" borderId="0" xfId="5" applyFont="1" applyFill="1" applyAlignment="1">
      <alignment horizontal="left" vertical="center"/>
    </xf>
    <xf numFmtId="0" fontId="53" fillId="52" borderId="0" xfId="5" applyFont="1" applyFill="1" applyAlignment="1">
      <alignment horizontal="right" vertical="center"/>
    </xf>
    <xf numFmtId="49" fontId="101" fillId="53" borderId="72" xfId="256" applyNumberFormat="1" applyFont="1" applyFill="1" applyBorder="1" applyAlignment="1" applyProtection="1">
      <alignment horizontal="left" vertical="center" wrapText="1"/>
    </xf>
    <xf numFmtId="49" fontId="101" fillId="53" borderId="72" xfId="256" applyNumberFormat="1" applyFont="1" applyFill="1" applyBorder="1" applyAlignment="1" applyProtection="1">
      <alignment horizontal="left" vertical="center" wrapText="1"/>
      <protection locked="0"/>
    </xf>
    <xf numFmtId="0" fontId="25" fillId="0" borderId="72" xfId="0" applyFont="1" applyBorder="1" applyAlignment="1" applyProtection="1">
      <alignment horizontal="left" vertical="center" wrapText="1"/>
    </xf>
    <xf numFmtId="49" fontId="34" fillId="54" borderId="72" xfId="256" applyNumberFormat="1" applyFont="1" applyFill="1" applyBorder="1" applyAlignment="1" applyProtection="1">
      <alignment horizontal="center" vertical="center" wrapText="1"/>
    </xf>
    <xf numFmtId="49" fontId="34" fillId="54" borderId="72" xfId="256" applyNumberFormat="1" applyFont="1" applyFill="1" applyBorder="1" applyAlignment="1" applyProtection="1">
      <alignment horizontal="left" vertical="center" wrapText="1"/>
    </xf>
    <xf numFmtId="49" fontId="34" fillId="54" borderId="72" xfId="256" applyNumberFormat="1" applyFont="1" applyFill="1" applyBorder="1" applyAlignment="1" applyProtection="1">
      <alignment horizontal="left" vertical="center" wrapText="1"/>
      <protection locked="0"/>
    </xf>
    <xf numFmtId="0" fontId="25" fillId="0" borderId="72" xfId="0" applyNumberFormat="1" applyFont="1" applyBorder="1" applyAlignment="1" applyProtection="1">
      <alignment horizontal="center" vertical="center" wrapText="1"/>
    </xf>
    <xf numFmtId="0" fontId="59" fillId="0" borderId="72" xfId="253" applyBorder="1" applyAlignment="1" applyProtection="1">
      <alignment horizontal="left" vertical="center" wrapText="1"/>
    </xf>
    <xf numFmtId="0" fontId="62" fillId="0" borderId="72" xfId="0" applyFont="1" applyBorder="1" applyAlignment="1" applyProtection="1">
      <alignment horizontal="left" vertical="center" wrapText="1"/>
    </xf>
    <xf numFmtId="0" fontId="25" fillId="36" borderId="72" xfId="0" applyFont="1" applyFill="1" applyBorder="1" applyAlignment="1" applyProtection="1">
      <alignment horizontal="left" vertical="center" wrapText="1"/>
      <protection locked="0"/>
    </xf>
    <xf numFmtId="0" fontId="25" fillId="0" borderId="72" xfId="0" applyNumberFormat="1" applyFont="1" applyBorder="1" applyAlignment="1" applyProtection="1">
      <alignment horizontal="center" vertical="center"/>
    </xf>
    <xf numFmtId="49" fontId="25" fillId="0" borderId="72" xfId="0" applyNumberFormat="1" applyFont="1" applyBorder="1" applyProtection="1"/>
    <xf numFmtId="49" fontId="62" fillId="0" borderId="72" xfId="0" applyNumberFormat="1" applyFont="1" applyBorder="1" applyProtection="1"/>
    <xf numFmtId="49" fontId="25" fillId="36" borderId="72" xfId="0" applyNumberFormat="1" applyFont="1" applyFill="1" applyBorder="1" applyProtection="1">
      <protection locked="0"/>
    </xf>
    <xf numFmtId="49" fontId="25" fillId="0" borderId="72" xfId="0" applyNumberFormat="1" applyFont="1" applyBorder="1"/>
    <xf numFmtId="0" fontId="4" fillId="0" borderId="0" xfId="5" applyFont="1"/>
    <xf numFmtId="0" fontId="3" fillId="0" borderId="0" xfId="5" applyFont="1"/>
    <xf numFmtId="168" fontId="3" fillId="0" borderId="0" xfId="5" applyNumberFormat="1" applyFont="1"/>
    <xf numFmtId="167" fontId="23" fillId="49" borderId="55" xfId="6" applyNumberFormat="1" applyFont="1" applyFill="1" applyBorder="1" applyAlignment="1" applyProtection="1">
      <alignment horizontal="center" vertical="center" wrapText="1"/>
      <protection locked="0"/>
    </xf>
    <xf numFmtId="2" fontId="23" fillId="49" borderId="55" xfId="6" applyNumberFormat="1" applyFont="1" applyFill="1" applyBorder="1" applyAlignment="1" applyProtection="1">
      <alignment horizontal="center" vertical="center" wrapText="1"/>
      <protection locked="0"/>
    </xf>
    <xf numFmtId="3" fontId="23" fillId="49" borderId="55" xfId="6" applyNumberFormat="1" applyFont="1" applyFill="1" applyBorder="1" applyAlignment="1" applyProtection="1">
      <alignment horizontal="center" vertical="center" wrapText="1"/>
      <protection locked="0"/>
    </xf>
    <xf numFmtId="3" fontId="88" fillId="29" borderId="0" xfId="239" applyNumberFormat="1" applyFont="1" applyFill="1" applyBorder="1" applyAlignment="1" applyProtection="1">
      <alignment horizontal="left" vertical="center" wrapText="1"/>
      <protection locked="0"/>
    </xf>
    <xf numFmtId="3" fontId="88" fillId="0" borderId="0" xfId="239" applyNumberFormat="1" applyFont="1" applyFill="1" applyBorder="1" applyAlignment="1" applyProtection="1">
      <alignment horizontal="left" vertical="center" wrapText="1"/>
      <protection locked="0"/>
    </xf>
    <xf numFmtId="0" fontId="32" fillId="0" borderId="0" xfId="5" applyFont="1" applyAlignment="1">
      <alignment horizontal="center"/>
    </xf>
    <xf numFmtId="0" fontId="54" fillId="4" borderId="0" xfId="5" applyFont="1" applyFill="1"/>
    <xf numFmtId="0" fontId="25" fillId="4" borderId="0" xfId="5" applyFont="1" applyFill="1"/>
    <xf numFmtId="11" fontId="2" fillId="0" borderId="0" xfId="5" applyNumberFormat="1" applyFont="1"/>
    <xf numFmtId="0" fontId="1" fillId="55" borderId="0" xfId="5" applyNumberFormat="1" applyFont="1" applyFill="1" applyBorder="1" applyAlignment="1"/>
    <xf numFmtId="11" fontId="1" fillId="55" borderId="0" xfId="5" applyNumberFormat="1" applyFont="1" applyFill="1" applyBorder="1" applyAlignment="1"/>
    <xf numFmtId="0" fontId="23" fillId="4" borderId="0" xfId="5" applyFont="1" applyFill="1" applyBorder="1" applyAlignment="1" applyProtection="1">
      <alignment horizontal="right" vertical="center"/>
      <protection hidden="1"/>
    </xf>
    <xf numFmtId="0" fontId="23" fillId="4" borderId="0" xfId="5" applyFont="1" applyFill="1" applyBorder="1" applyAlignment="1" applyProtection="1">
      <alignment horizontal="center" vertical="center"/>
      <protection hidden="1"/>
    </xf>
    <xf numFmtId="0" fontId="22" fillId="4" borderId="0" xfId="5" applyFill="1"/>
    <xf numFmtId="0" fontId="146" fillId="0" borderId="0" xfId="5" applyFont="1" applyBorder="1" applyAlignment="1" applyProtection="1">
      <alignment vertical="center"/>
      <protection hidden="1"/>
    </xf>
    <xf numFmtId="0" fontId="25" fillId="29" borderId="0" xfId="0" applyFont="1" applyFill="1" applyAlignment="1">
      <alignment vertical="center"/>
    </xf>
    <xf numFmtId="0" fontId="147" fillId="29" borderId="0" xfId="0" applyFont="1" applyFill="1" applyAlignment="1">
      <alignment horizontal="center" vertical="center"/>
    </xf>
    <xf numFmtId="0" fontId="147" fillId="29" borderId="0" xfId="0" applyFont="1" applyFill="1" applyAlignment="1">
      <alignment vertical="center"/>
    </xf>
    <xf numFmtId="0" fontId="148" fillId="29" borderId="0" xfId="0" applyFont="1" applyFill="1" applyAlignment="1">
      <alignment vertical="center"/>
    </xf>
    <xf numFmtId="9" fontId="148" fillId="50" borderId="0" xfId="238" applyFont="1" applyFill="1" applyBorder="1" applyAlignment="1">
      <alignment horizontal="center" vertical="center"/>
    </xf>
    <xf numFmtId="0" fontId="149" fillId="29" borderId="0" xfId="0" applyFont="1" applyFill="1" applyAlignment="1">
      <alignment vertical="center"/>
    </xf>
    <xf numFmtId="9" fontId="149" fillId="50" borderId="0" xfId="238" applyFont="1" applyFill="1" applyBorder="1" applyAlignment="1">
      <alignment horizontal="center" vertical="center"/>
    </xf>
    <xf numFmtId="175" fontId="23" fillId="49" borderId="55" xfId="5" applyNumberFormat="1" applyFont="1" applyFill="1" applyBorder="1" applyAlignment="1" applyProtection="1">
      <alignment horizontal="center" vertical="center"/>
      <protection hidden="1"/>
    </xf>
    <xf numFmtId="0" fontId="0" fillId="0" borderId="66" xfId="5" applyFont="1" applyBorder="1"/>
    <xf numFmtId="0" fontId="150" fillId="55" borderId="0" xfId="5" applyNumberFormat="1" applyFont="1" applyFill="1" applyBorder="1" applyAlignment="1"/>
    <xf numFmtId="11" fontId="150" fillId="55" borderId="0" xfId="5" applyNumberFormat="1" applyFont="1" applyFill="1" applyBorder="1" applyAlignment="1"/>
    <xf numFmtId="0" fontId="150" fillId="0" borderId="0" xfId="5" applyFont="1"/>
    <xf numFmtId="1" fontId="25" fillId="0" borderId="0" xfId="5" applyNumberFormat="1" applyFont="1" applyFill="1" applyBorder="1" applyAlignment="1" applyProtection="1">
      <alignment horizontal="center" vertical="center"/>
    </xf>
    <xf numFmtId="0" fontId="23" fillId="0" borderId="0" xfId="5" applyFont="1" applyFill="1" applyBorder="1" applyAlignment="1" applyProtection="1">
      <alignment horizontal="center" vertical="center"/>
    </xf>
    <xf numFmtId="0" fontId="23" fillId="0" borderId="0" xfId="265" applyFont="1"/>
    <xf numFmtId="0" fontId="59" fillId="0" borderId="0" xfId="253" applyProtection="1"/>
    <xf numFmtId="0" fontId="98" fillId="0" borderId="0" xfId="265" applyFont="1" applyAlignment="1">
      <alignment horizontal="left" vertical="center"/>
    </xf>
    <xf numFmtId="0" fontId="97" fillId="0" borderId="0" xfId="265" applyFont="1"/>
    <xf numFmtId="0" fontId="0" fillId="0" borderId="0" xfId="0" applyAlignment="1">
      <alignment horizontal="center"/>
    </xf>
    <xf numFmtId="0" fontId="151" fillId="0" borderId="0" xfId="253" applyFont="1" applyAlignment="1" applyProtection="1">
      <alignment horizontal="left" vertical="center"/>
    </xf>
    <xf numFmtId="0" fontId="23" fillId="0" borderId="88" xfId="5" applyFont="1" applyFill="1" applyBorder="1" applyAlignment="1" applyProtection="1">
      <alignment horizontal="center" vertical="center"/>
      <protection locked="0"/>
    </xf>
    <xf numFmtId="176" fontId="23" fillId="49" borderId="40" xfId="6" applyNumberFormat="1" applyFont="1" applyFill="1" applyBorder="1" applyAlignment="1" applyProtection="1">
      <alignment horizontal="right" vertical="center" wrapText="1"/>
      <protection hidden="1"/>
    </xf>
    <xf numFmtId="0" fontId="138" fillId="0" borderId="0" xfId="5" applyFont="1" applyFill="1" applyBorder="1" applyAlignment="1" applyProtection="1">
      <alignment horizontal="left" vertical="center"/>
      <protection hidden="1"/>
    </xf>
    <xf numFmtId="0" fontId="126" fillId="47" borderId="65" xfId="5" applyFont="1" applyFill="1" applyBorder="1" applyAlignment="1" applyProtection="1">
      <alignment horizontal="center" vertical="center"/>
      <protection hidden="1"/>
    </xf>
    <xf numFmtId="0" fontId="126" fillId="47" borderId="52" xfId="5" applyFont="1" applyFill="1" applyBorder="1" applyAlignment="1" applyProtection="1">
      <alignment horizontal="center" vertical="center" wrapText="1"/>
      <protection hidden="1"/>
    </xf>
    <xf numFmtId="176" fontId="23" fillId="49" borderId="55" xfId="6" applyNumberFormat="1" applyFont="1" applyFill="1" applyBorder="1" applyAlignment="1" applyProtection="1">
      <alignment horizontal="right" vertical="center" wrapText="1"/>
      <protection hidden="1"/>
    </xf>
    <xf numFmtId="0" fontId="23" fillId="0" borderId="88" xfId="5" applyFont="1" applyFill="1" applyBorder="1" applyAlignment="1" applyProtection="1">
      <alignment horizontal="center" vertical="center" wrapText="1"/>
      <protection locked="0"/>
    </xf>
    <xf numFmtId="0" fontId="27" fillId="0" borderId="0" xfId="5" applyFont="1" applyFill="1" applyBorder="1" applyAlignment="1" applyProtection="1">
      <alignment horizontal="left" vertical="center"/>
      <protection hidden="1"/>
    </xf>
    <xf numFmtId="0" fontId="0" fillId="0" borderId="88" xfId="5" applyFont="1" applyFill="1" applyBorder="1" applyAlignment="1" applyProtection="1">
      <alignment horizontal="left" vertical="top" wrapText="1"/>
      <protection locked="0"/>
    </xf>
    <xf numFmtId="0" fontId="23" fillId="0" borderId="88" xfId="5" applyFont="1" applyFill="1" applyBorder="1" applyAlignment="1" applyProtection="1">
      <alignment horizontal="left" vertical="top" wrapText="1"/>
      <protection locked="0"/>
    </xf>
    <xf numFmtId="0" fontId="27" fillId="0" borderId="0" xfId="5" applyFont="1" applyBorder="1" applyAlignment="1" applyProtection="1">
      <alignment horizontal="left" vertical="center"/>
      <protection hidden="1"/>
    </xf>
    <xf numFmtId="0" fontId="0" fillId="0" borderId="88" xfId="5" applyFont="1" applyFill="1" applyBorder="1" applyAlignment="1" applyProtection="1">
      <alignment horizontal="left" vertical="top"/>
      <protection locked="0"/>
    </xf>
    <xf numFmtId="0" fontId="23" fillId="0" borderId="88" xfId="5" applyFont="1" applyFill="1" applyBorder="1" applyAlignment="1" applyProtection="1">
      <alignment horizontal="left" vertical="top"/>
      <protection locked="0"/>
    </xf>
    <xf numFmtId="0" fontId="23" fillId="0" borderId="0" xfId="5" applyFont="1" applyBorder="1" applyAlignment="1" applyProtection="1">
      <alignment horizontal="justify" vertical="center" wrapText="1"/>
      <protection hidden="1"/>
    </xf>
    <xf numFmtId="0" fontId="27" fillId="0" borderId="0" xfId="5" applyFont="1" applyFill="1" applyBorder="1" applyAlignment="1" applyProtection="1">
      <alignment horizontal="right" vertical="center"/>
      <protection hidden="1"/>
    </xf>
    <xf numFmtId="174" fontId="27" fillId="49" borderId="40" xfId="6" applyNumberFormat="1" applyFont="1" applyFill="1" applyBorder="1" applyAlignment="1" applyProtection="1">
      <alignment horizontal="right" vertical="center"/>
      <protection hidden="1"/>
    </xf>
    <xf numFmtId="3" fontId="23" fillId="49" borderId="53" xfId="6" applyNumberFormat="1" applyFont="1" applyFill="1" applyBorder="1" applyAlignment="1" applyProtection="1">
      <alignment horizontal="right" vertical="center"/>
      <protection hidden="1"/>
    </xf>
    <xf numFmtId="3" fontId="23" fillId="49" borderId="54" xfId="6" applyNumberFormat="1" applyFont="1" applyFill="1" applyBorder="1" applyAlignment="1" applyProtection="1">
      <alignment horizontal="right" vertical="center"/>
      <protection hidden="1"/>
    </xf>
    <xf numFmtId="0" fontId="0" fillId="0" borderId="89" xfId="5" applyFont="1" applyFill="1" applyBorder="1" applyAlignment="1" applyProtection="1">
      <alignment horizontal="left" vertical="center"/>
      <protection locked="0"/>
    </xf>
    <xf numFmtId="0" fontId="23" fillId="0" borderId="90" xfId="5" applyFont="1" applyFill="1" applyBorder="1" applyAlignment="1" applyProtection="1">
      <alignment horizontal="left" vertical="center"/>
      <protection locked="0"/>
    </xf>
    <xf numFmtId="0" fontId="23" fillId="0" borderId="91" xfId="5" applyFont="1" applyFill="1" applyBorder="1" applyAlignment="1" applyProtection="1">
      <alignment horizontal="left" vertical="center"/>
      <protection locked="0"/>
    </xf>
    <xf numFmtId="0" fontId="0" fillId="0" borderId="92" xfId="5" applyFont="1" applyFill="1" applyBorder="1" applyAlignment="1" applyProtection="1">
      <alignment horizontal="left" vertical="center"/>
      <protection locked="0"/>
    </xf>
    <xf numFmtId="0" fontId="23" fillId="0" borderId="94" xfId="5" applyFont="1" applyFill="1" applyBorder="1" applyAlignment="1" applyProtection="1">
      <alignment horizontal="left" vertical="center"/>
      <protection locked="0"/>
    </xf>
    <xf numFmtId="0" fontId="23" fillId="0" borderId="93" xfId="5" applyFont="1" applyFill="1" applyBorder="1" applyAlignment="1" applyProtection="1">
      <alignment horizontal="left" vertical="center"/>
      <protection locked="0"/>
    </xf>
    <xf numFmtId="0" fontId="25" fillId="0" borderId="105" xfId="3" applyFont="1" applyFill="1" applyBorder="1" applyAlignment="1" applyProtection="1">
      <alignment horizontal="left" vertical="center"/>
      <protection locked="0"/>
    </xf>
    <xf numFmtId="0" fontId="62" fillId="0" borderId="106" xfId="5" applyFont="1" applyFill="1" applyBorder="1" applyAlignment="1" applyProtection="1">
      <alignment horizontal="left" vertical="center"/>
      <protection locked="0"/>
    </xf>
    <xf numFmtId="0" fontId="0" fillId="0" borderId="102" xfId="5" applyFont="1" applyFill="1" applyBorder="1" applyAlignment="1" applyProtection="1">
      <alignment horizontal="left" vertical="center"/>
      <protection locked="0"/>
    </xf>
    <xf numFmtId="0" fontId="23" fillId="0" borderId="103" xfId="5" applyFont="1" applyFill="1" applyBorder="1" applyAlignment="1" applyProtection="1">
      <alignment horizontal="left" vertical="center"/>
      <protection locked="0"/>
    </xf>
    <xf numFmtId="0" fontId="23" fillId="0" borderId="104" xfId="5" applyFont="1" applyFill="1" applyBorder="1" applyAlignment="1" applyProtection="1">
      <alignment horizontal="left" vertical="center"/>
      <protection locked="0"/>
    </xf>
    <xf numFmtId="0" fontId="0" fillId="0" borderId="92" xfId="5" applyFont="1" applyFill="1" applyBorder="1" applyAlignment="1" applyProtection="1">
      <alignment horizontal="center" vertical="center"/>
      <protection locked="0"/>
    </xf>
    <xf numFmtId="0" fontId="0" fillId="0" borderId="94" xfId="5" applyFont="1" applyFill="1" applyBorder="1" applyAlignment="1" applyProtection="1">
      <alignment horizontal="center" vertical="center"/>
      <protection locked="0"/>
    </xf>
    <xf numFmtId="0" fontId="0" fillId="0" borderId="93" xfId="5" applyFont="1" applyFill="1" applyBorder="1" applyAlignment="1" applyProtection="1">
      <alignment horizontal="center" vertical="center"/>
      <protection locked="0"/>
    </xf>
    <xf numFmtId="0" fontId="0" fillId="0" borderId="123" xfId="5" applyFont="1" applyFill="1" applyBorder="1" applyAlignment="1" applyProtection="1">
      <alignment horizontal="left" vertical="center"/>
      <protection locked="0"/>
    </xf>
    <xf numFmtId="0" fontId="23" fillId="0" borderId="124" xfId="5" applyFont="1" applyFill="1" applyBorder="1" applyAlignment="1" applyProtection="1">
      <alignment horizontal="left" vertical="center"/>
      <protection locked="0"/>
    </xf>
    <xf numFmtId="0" fontId="23" fillId="0" borderId="125" xfId="5" applyFont="1" applyFill="1" applyBorder="1" applyAlignment="1" applyProtection="1">
      <alignment horizontal="left" vertical="center"/>
      <protection locked="0"/>
    </xf>
    <xf numFmtId="0" fontId="25" fillId="0" borderId="92" xfId="3" applyFont="1" applyFill="1" applyBorder="1" applyAlignment="1" applyProtection="1">
      <alignment horizontal="left" vertical="center"/>
      <protection locked="0"/>
    </xf>
    <xf numFmtId="0" fontId="62" fillId="0" borderId="93" xfId="5" applyFont="1" applyFill="1" applyBorder="1" applyAlignment="1" applyProtection="1">
      <alignment horizontal="left" vertical="center"/>
      <protection locked="0"/>
    </xf>
    <xf numFmtId="0" fontId="27" fillId="0" borderId="55" xfId="5" applyFont="1" applyFill="1" applyBorder="1" applyAlignment="1" applyProtection="1">
      <alignment horizontal="right" vertical="center"/>
      <protection hidden="1"/>
    </xf>
    <xf numFmtId="0" fontId="27" fillId="0" borderId="49" xfId="5" applyFont="1" applyFill="1" applyBorder="1" applyAlignment="1" applyProtection="1">
      <alignment horizontal="right" vertical="center"/>
      <protection hidden="1"/>
    </xf>
    <xf numFmtId="0" fontId="27" fillId="0" borderId="40" xfId="5" applyFont="1" applyFill="1" applyBorder="1" applyAlignment="1" applyProtection="1">
      <alignment horizontal="right" vertical="center"/>
      <protection hidden="1"/>
    </xf>
    <xf numFmtId="166" fontId="27" fillId="49" borderId="40" xfId="4" applyNumberFormat="1" applyFont="1" applyFill="1" applyBorder="1" applyAlignment="1" applyProtection="1">
      <alignment horizontal="center" vertical="center"/>
      <protection hidden="1"/>
    </xf>
    <xf numFmtId="166" fontId="23" fillId="49" borderId="40" xfId="4" applyNumberFormat="1" applyFont="1" applyFill="1" applyBorder="1" applyAlignment="1" applyProtection="1">
      <alignment horizontal="center" vertical="center"/>
      <protection hidden="1"/>
    </xf>
    <xf numFmtId="166" fontId="23" fillId="49" borderId="55" xfId="4" applyNumberFormat="1" applyFont="1" applyFill="1" applyBorder="1" applyAlignment="1" applyProtection="1">
      <alignment horizontal="center" vertical="center"/>
      <protection hidden="1"/>
    </xf>
    <xf numFmtId="0" fontId="136" fillId="0" borderId="0" xfId="5" applyFont="1" applyFill="1" applyBorder="1" applyAlignment="1" applyProtection="1">
      <alignment horizontal="left" vertical="center"/>
      <protection hidden="1"/>
    </xf>
    <xf numFmtId="0" fontId="0" fillId="0" borderId="92" xfId="5" applyFont="1" applyFill="1" applyBorder="1" applyAlignment="1" applyProtection="1">
      <alignment horizontal="left" vertical="top" wrapText="1"/>
      <protection locked="0"/>
    </xf>
    <xf numFmtId="0" fontId="23" fillId="0" borderId="94" xfId="5" applyFont="1" applyFill="1" applyBorder="1" applyAlignment="1" applyProtection="1">
      <alignment horizontal="left" vertical="top" wrapText="1"/>
      <protection locked="0"/>
    </xf>
    <xf numFmtId="0" fontId="23" fillId="0" borderId="93" xfId="5" applyFont="1" applyFill="1" applyBorder="1" applyAlignment="1" applyProtection="1">
      <alignment horizontal="left" vertical="top" wrapText="1"/>
      <protection locked="0"/>
    </xf>
    <xf numFmtId="0" fontId="23" fillId="0" borderId="92" xfId="5" applyFont="1" applyFill="1" applyBorder="1" applyAlignment="1" applyProtection="1">
      <alignment horizontal="left" vertical="top" wrapText="1"/>
      <protection locked="0"/>
    </xf>
    <xf numFmtId="164" fontId="23" fillId="0" borderId="40" xfId="0" applyNumberFormat="1" applyFont="1" applyFill="1" applyBorder="1" applyAlignment="1" applyProtection="1">
      <alignment horizontal="center" vertical="center"/>
      <protection hidden="1"/>
    </xf>
    <xf numFmtId="0" fontId="23" fillId="0" borderId="40" xfId="5" applyFont="1" applyBorder="1" applyAlignment="1" applyProtection="1">
      <alignment horizontal="center" vertical="center"/>
      <protection hidden="1"/>
    </xf>
    <xf numFmtId="0" fontId="27" fillId="0" borderId="41" xfId="5" applyFont="1" applyFill="1" applyBorder="1" applyAlignment="1" applyProtection="1">
      <alignment horizontal="right" vertical="center"/>
      <protection hidden="1"/>
    </xf>
    <xf numFmtId="167" fontId="23" fillId="0" borderId="89" xfId="6" applyNumberFormat="1" applyFont="1" applyFill="1" applyBorder="1" applyAlignment="1" applyProtection="1">
      <alignment horizontal="center" vertical="center"/>
      <protection locked="0"/>
    </xf>
    <xf numFmtId="167" fontId="23" fillId="0" borderId="91" xfId="6" applyNumberFormat="1" applyFont="1" applyFill="1" applyBorder="1" applyAlignment="1" applyProtection="1">
      <alignment horizontal="center" vertical="center"/>
      <protection locked="0"/>
    </xf>
    <xf numFmtId="0" fontId="79" fillId="47" borderId="65" xfId="5" applyFont="1" applyFill="1" applyBorder="1" applyAlignment="1" applyProtection="1">
      <alignment horizontal="center" wrapText="1"/>
      <protection hidden="1"/>
    </xf>
    <xf numFmtId="0" fontId="79" fillId="47" borderId="56" xfId="5" applyFont="1" applyFill="1" applyBorder="1" applyAlignment="1" applyProtection="1">
      <alignment horizontal="center" wrapText="1"/>
      <protection hidden="1"/>
    </xf>
    <xf numFmtId="0" fontId="76" fillId="0" borderId="0" xfId="5" applyFont="1" applyBorder="1" applyAlignment="1" applyProtection="1">
      <alignment horizontal="right" vertical="center"/>
      <protection hidden="1"/>
    </xf>
    <xf numFmtId="0" fontId="23" fillId="0" borderId="89" xfId="5" applyFont="1" applyFill="1" applyBorder="1" applyAlignment="1" applyProtection="1">
      <alignment horizontal="left" vertical="center"/>
      <protection locked="0"/>
    </xf>
    <xf numFmtId="0" fontId="75" fillId="0" borderId="0" xfId="5" applyFont="1" applyBorder="1" applyAlignment="1" applyProtection="1">
      <alignment horizontal="left" vertical="center" wrapText="1"/>
      <protection hidden="1"/>
    </xf>
    <xf numFmtId="0" fontId="23" fillId="0" borderId="0" xfId="5" applyFont="1" applyBorder="1" applyAlignment="1" applyProtection="1">
      <alignment horizontal="left" vertical="center"/>
      <protection hidden="1"/>
    </xf>
    <xf numFmtId="0" fontId="126" fillId="47" borderId="52" xfId="5" applyFont="1" applyFill="1" applyBorder="1" applyAlignment="1" applyProtection="1">
      <alignment horizontal="center" vertical="center"/>
      <protection hidden="1"/>
    </xf>
    <xf numFmtId="0" fontId="126" fillId="47" borderId="65" xfId="5" applyFont="1" applyFill="1" applyBorder="1" applyAlignment="1" applyProtection="1">
      <alignment horizontal="center" vertical="center" wrapText="1"/>
      <protection hidden="1"/>
    </xf>
    <xf numFmtId="175" fontId="23" fillId="49" borderId="55" xfId="5" applyNumberFormat="1" applyFont="1" applyFill="1" applyBorder="1" applyAlignment="1" applyProtection="1">
      <alignment horizontal="center" vertical="center" wrapText="1"/>
      <protection hidden="1"/>
    </xf>
    <xf numFmtId="0" fontId="0" fillId="0" borderId="88" xfId="122" applyFont="1" applyFill="1" applyBorder="1" applyAlignment="1" applyProtection="1">
      <alignment horizontal="left" vertical="top"/>
      <protection locked="0"/>
    </xf>
    <xf numFmtId="0" fontId="23" fillId="0" borderId="88" xfId="122" applyFont="1" applyFill="1" applyBorder="1" applyAlignment="1" applyProtection="1">
      <alignment horizontal="left" vertical="top"/>
      <protection locked="0"/>
    </xf>
    <xf numFmtId="0" fontId="62" fillId="0" borderId="0" xfId="5" applyFont="1" applyBorder="1" applyAlignment="1" applyProtection="1">
      <alignment horizontal="left" vertical="center"/>
      <protection hidden="1"/>
    </xf>
    <xf numFmtId="0" fontId="74" fillId="0" borderId="0" xfId="122" applyFont="1" applyBorder="1" applyAlignment="1" applyProtection="1">
      <alignment horizontal="justify" vertical="center" wrapText="1"/>
      <protection hidden="1"/>
    </xf>
    <xf numFmtId="0" fontId="0" fillId="0" borderId="0" xfId="122" applyFont="1" applyBorder="1" applyAlignment="1" applyProtection="1">
      <alignment horizontal="left" vertical="center" wrapText="1"/>
      <protection hidden="1"/>
    </xf>
    <xf numFmtId="0" fontId="23" fillId="0" borderId="0" xfId="122" applyFont="1" applyBorder="1" applyAlignment="1" applyProtection="1">
      <alignment horizontal="left" vertical="center" wrapText="1"/>
      <protection hidden="1"/>
    </xf>
    <xf numFmtId="0" fontId="23" fillId="0" borderId="0" xfId="5" applyFont="1" applyBorder="1" applyAlignment="1" applyProtection="1">
      <alignment horizontal="left" vertical="top" wrapText="1"/>
      <protection hidden="1"/>
    </xf>
    <xf numFmtId="0" fontId="27" fillId="0" borderId="40" xfId="5" applyFont="1" applyFill="1" applyBorder="1" applyAlignment="1" applyProtection="1">
      <alignment horizontal="left" vertical="center" wrapText="1"/>
      <protection hidden="1"/>
    </xf>
    <xf numFmtId="0" fontId="96" fillId="0" borderId="40" xfId="5" applyFont="1" applyFill="1" applyBorder="1" applyAlignment="1" applyProtection="1">
      <alignment horizontal="right" vertical="center" wrapText="1"/>
      <protection hidden="1"/>
    </xf>
    <xf numFmtId="0" fontId="79" fillId="0" borderId="0" xfId="5" applyFont="1" applyFill="1" applyBorder="1" applyAlignment="1" applyProtection="1">
      <alignment horizontal="left" vertical="top" wrapText="1"/>
      <protection hidden="1"/>
    </xf>
    <xf numFmtId="0" fontId="27" fillId="0" borderId="0" xfId="5" applyFont="1" applyBorder="1" applyAlignment="1" applyProtection="1">
      <alignment horizontal="left" vertical="center" wrapText="1"/>
      <protection hidden="1"/>
    </xf>
    <xf numFmtId="0" fontId="62" fillId="0" borderId="0" xfId="5" applyFont="1" applyFill="1" applyBorder="1" applyAlignment="1" applyProtection="1">
      <alignment horizontal="left" vertical="center"/>
      <protection hidden="1"/>
    </xf>
    <xf numFmtId="0" fontId="138" fillId="0" borderId="0" xfId="5" applyFont="1" applyAlignment="1" applyProtection="1">
      <alignment horizontal="left" vertical="center"/>
      <protection hidden="1"/>
    </xf>
    <xf numFmtId="0" fontId="27" fillId="0" borderId="0" xfId="5" applyFont="1" applyAlignment="1" applyProtection="1">
      <alignment horizontal="left" vertical="center" wrapText="1"/>
      <protection hidden="1"/>
    </xf>
    <xf numFmtId="0" fontId="0" fillId="0" borderId="88" xfId="5" applyFont="1" applyBorder="1" applyAlignment="1" applyProtection="1">
      <alignment horizontal="left" vertical="top" wrapText="1"/>
      <protection locked="0"/>
    </xf>
    <xf numFmtId="0" fontId="23" fillId="0" borderId="88" xfId="5" applyFont="1" applyBorder="1" applyAlignment="1" applyProtection="1">
      <alignment horizontal="left" vertical="top" wrapText="1"/>
      <protection locked="0"/>
    </xf>
    <xf numFmtId="0" fontId="83" fillId="29" borderId="87" xfId="256" applyFont="1" applyFill="1" applyBorder="1" applyAlignment="1" applyProtection="1">
      <alignment horizontal="center" vertical="center" wrapText="1"/>
      <protection hidden="1"/>
    </xf>
    <xf numFmtId="0" fontId="83" fillId="29" borderId="0" xfId="256" applyFont="1" applyFill="1" applyBorder="1" applyAlignment="1" applyProtection="1">
      <alignment horizontal="center" vertical="center" wrapText="1"/>
      <protection hidden="1"/>
    </xf>
    <xf numFmtId="0" fontId="83" fillId="29" borderId="96" xfId="256" applyFont="1" applyFill="1" applyBorder="1" applyAlignment="1" applyProtection="1">
      <alignment horizontal="center" vertical="center" wrapText="1"/>
      <protection hidden="1"/>
    </xf>
    <xf numFmtId="0" fontId="25" fillId="29" borderId="87" xfId="5" applyFont="1" applyFill="1" applyBorder="1" applyAlignment="1" applyProtection="1">
      <alignment horizontal="left" vertical="center" wrapText="1"/>
      <protection hidden="1"/>
    </xf>
    <xf numFmtId="0" fontId="25" fillId="29" borderId="0" xfId="5" applyFont="1" applyFill="1" applyBorder="1" applyAlignment="1" applyProtection="1">
      <alignment horizontal="left" vertical="center" wrapText="1"/>
      <protection hidden="1"/>
    </xf>
    <xf numFmtId="0" fontId="25" fillId="29" borderId="96" xfId="5" applyFont="1" applyFill="1" applyBorder="1" applyAlignment="1" applyProtection="1">
      <alignment horizontal="left" vertical="center" wrapText="1"/>
      <protection hidden="1"/>
    </xf>
    <xf numFmtId="0" fontId="32" fillId="0" borderId="0" xfId="5" applyFont="1" applyAlignment="1">
      <alignment horizontal="center"/>
    </xf>
    <xf numFmtId="0" fontId="31" fillId="6" borderId="0" xfId="5" applyFont="1" applyFill="1" applyAlignment="1">
      <alignment horizontal="center"/>
    </xf>
    <xf numFmtId="0" fontId="0" fillId="0" borderId="97" xfId="0" applyFont="1" applyFill="1" applyBorder="1" applyAlignment="1" applyProtection="1">
      <alignment horizontal="center"/>
      <protection locked="0"/>
    </xf>
    <xf numFmtId="0" fontId="139" fillId="0" borderId="0" xfId="5" applyFont="1" applyFill="1" applyBorder="1" applyAlignment="1" applyProtection="1">
      <alignment horizontal="left" vertical="center"/>
      <protection hidden="1"/>
    </xf>
    <xf numFmtId="0" fontId="0" fillId="0" borderId="98" xfId="0" applyFont="1" applyFill="1" applyBorder="1" applyAlignment="1" applyProtection="1">
      <alignment horizontal="center"/>
      <protection locked="0"/>
    </xf>
    <xf numFmtId="164" fontId="0" fillId="50" borderId="97" xfId="0" applyNumberFormat="1" applyFont="1" applyFill="1" applyBorder="1" applyAlignment="1" applyProtection="1">
      <alignment horizontal="right"/>
      <protection hidden="1"/>
    </xf>
    <xf numFmtId="0" fontId="0" fillId="50" borderId="97" xfId="0" applyFont="1" applyFill="1" applyBorder="1" applyAlignment="1" applyProtection="1">
      <alignment horizontal="center"/>
      <protection hidden="1"/>
    </xf>
    <xf numFmtId="0" fontId="0" fillId="50" borderId="97" xfId="0" applyFont="1" applyFill="1" applyBorder="1" applyAlignment="1" applyProtection="1">
      <alignment horizontal="left"/>
      <protection hidden="1"/>
    </xf>
    <xf numFmtId="0" fontId="27" fillId="0" borderId="0" xfId="0" applyFont="1" applyBorder="1" applyAlignment="1" applyProtection="1">
      <alignment horizontal="right"/>
      <protection hidden="1"/>
    </xf>
    <xf numFmtId="164" fontId="74" fillId="0" borderId="0" xfId="0" applyNumberFormat="1" applyFont="1" applyBorder="1" applyAlignment="1" applyProtection="1">
      <alignment horizontal="right"/>
      <protection hidden="1"/>
    </xf>
    <xf numFmtId="0" fontId="74" fillId="0" borderId="0" xfId="0" applyFont="1" applyBorder="1" applyAlignment="1" applyProtection="1">
      <alignment horizontal="right"/>
      <protection hidden="1"/>
    </xf>
    <xf numFmtId="164" fontId="0" fillId="0" borderId="0" xfId="0" applyNumberFormat="1" applyFont="1" applyBorder="1" applyAlignment="1" applyProtection="1">
      <alignment horizontal="right"/>
      <protection hidden="1"/>
    </xf>
    <xf numFmtId="0" fontId="0" fillId="0" borderId="0" xfId="0" applyFont="1" applyBorder="1" applyAlignment="1" applyProtection="1">
      <alignment horizontal="right"/>
      <protection hidden="1"/>
    </xf>
    <xf numFmtId="0" fontId="74" fillId="0" borderId="0" xfId="0" applyFont="1" applyBorder="1" applyAlignment="1" applyProtection="1">
      <alignment horizontal="left"/>
      <protection hidden="1"/>
    </xf>
    <xf numFmtId="0" fontId="77" fillId="0" borderId="0" xfId="5" applyFont="1" applyFill="1" applyBorder="1" applyAlignment="1" applyProtection="1">
      <alignment horizontal="right" vertical="center"/>
      <protection hidden="1"/>
    </xf>
    <xf numFmtId="0" fontId="83" fillId="29" borderId="86" xfId="256" applyFont="1" applyFill="1" applyBorder="1" applyAlignment="1" applyProtection="1">
      <alignment horizontal="center" vertical="center" wrapText="1"/>
      <protection hidden="1"/>
    </xf>
    <xf numFmtId="0" fontId="83" fillId="29" borderId="101" xfId="256" applyFont="1" applyFill="1" applyBorder="1" applyAlignment="1" applyProtection="1">
      <alignment horizontal="center" vertical="center" wrapText="1"/>
      <protection hidden="1"/>
    </xf>
    <xf numFmtId="0" fontId="126" fillId="48" borderId="0" xfId="0" applyFont="1" applyFill="1" applyBorder="1" applyAlignment="1" applyProtection="1">
      <alignment horizontal="left"/>
      <protection hidden="1"/>
    </xf>
    <xf numFmtId="0" fontId="126" fillId="48" borderId="0" xfId="0" applyFont="1" applyFill="1" applyBorder="1" applyAlignment="1" applyProtection="1">
      <alignment horizontal="center"/>
      <protection hidden="1"/>
    </xf>
    <xf numFmtId="0" fontId="27" fillId="0" borderId="0" xfId="0" applyFont="1" applyFill="1" applyBorder="1" applyAlignment="1" applyProtection="1">
      <alignment horizontal="right"/>
      <protection hidden="1"/>
    </xf>
    <xf numFmtId="164" fontId="27" fillId="0" borderId="0" xfId="0" applyNumberFormat="1" applyFont="1" applyBorder="1" applyAlignment="1" applyProtection="1">
      <alignment horizontal="right"/>
      <protection hidden="1"/>
    </xf>
    <xf numFmtId="0" fontId="137" fillId="0" borderId="0" xfId="5" applyFont="1" applyFill="1" applyBorder="1" applyAlignment="1" applyProtection="1">
      <alignment horizontal="justify" vertical="center" wrapText="1"/>
      <protection hidden="1"/>
    </xf>
    <xf numFmtId="0" fontId="137" fillId="0" borderId="0" xfId="5" applyFont="1" applyFill="1" applyBorder="1" applyAlignment="1" applyProtection="1">
      <alignment horizontal="justify" vertical="center"/>
      <protection hidden="1"/>
    </xf>
    <xf numFmtId="0" fontId="23" fillId="0" borderId="97" xfId="5" applyFont="1" applyFill="1" applyBorder="1" applyAlignment="1" applyProtection="1">
      <alignment horizontal="left" vertical="center"/>
      <protection locked="0"/>
    </xf>
    <xf numFmtId="0" fontId="0" fillId="0" borderId="97" xfId="5" applyFont="1" applyFill="1" applyBorder="1" applyAlignment="1" applyProtection="1">
      <alignment horizontal="left" vertical="center"/>
      <protection locked="0"/>
    </xf>
    <xf numFmtId="0" fontId="77" fillId="0" borderId="0" xfId="5" applyFont="1" applyFill="1" applyBorder="1" applyAlignment="1" applyProtection="1">
      <alignment horizontal="right" vertical="center" wrapText="1"/>
      <protection hidden="1"/>
    </xf>
    <xf numFmtId="14" fontId="0" fillId="0" borderId="97" xfId="0" applyNumberFormat="1" applyFont="1" applyFill="1" applyBorder="1" applyAlignment="1" applyProtection="1">
      <alignment horizontal="center" vertical="center"/>
      <protection locked="0"/>
    </xf>
    <xf numFmtId="0" fontId="25" fillId="0" borderId="97" xfId="3" applyFont="1" applyFill="1" applyBorder="1" applyAlignment="1" applyProtection="1">
      <alignment horizontal="left" vertical="center"/>
      <protection locked="0"/>
    </xf>
    <xf numFmtId="0" fontId="27" fillId="0" borderId="0" xfId="5" applyFont="1" applyBorder="1" applyAlignment="1" applyProtection="1">
      <alignment horizontal="right" vertical="center"/>
      <protection hidden="1"/>
    </xf>
    <xf numFmtId="14" fontId="81" fillId="0" borderId="97" xfId="5" applyNumberFormat="1" applyFont="1" applyFill="1" applyBorder="1" applyAlignment="1" applyProtection="1">
      <alignment horizontal="left" vertical="center"/>
      <protection locked="0"/>
    </xf>
    <xf numFmtId="0" fontId="23" fillId="0" borderId="97" xfId="5" applyFont="1" applyFill="1" applyBorder="1" applyAlignment="1" applyProtection="1">
      <alignment horizontal="left" vertical="top"/>
      <protection locked="0"/>
    </xf>
    <xf numFmtId="0" fontId="62" fillId="30" borderId="0" xfId="5" applyFont="1" applyFill="1" applyBorder="1" applyAlignment="1" applyProtection="1">
      <alignment horizontal="left" vertical="center"/>
      <protection hidden="1"/>
    </xf>
    <xf numFmtId="0" fontId="62" fillId="30" borderId="0" xfId="5" applyFont="1" applyFill="1" applyBorder="1" applyAlignment="1" applyProtection="1">
      <alignment horizontal="left" vertical="center" wrapText="1"/>
      <protection hidden="1"/>
    </xf>
    <xf numFmtId="0" fontId="62" fillId="0" borderId="0" xfId="5" applyFont="1" applyFill="1" applyBorder="1" applyAlignment="1" applyProtection="1">
      <alignment horizontal="left" vertical="top" wrapText="1"/>
      <protection hidden="1"/>
    </xf>
    <xf numFmtId="0" fontId="62" fillId="0" borderId="50" xfId="5" applyFont="1" applyFill="1" applyBorder="1" applyAlignment="1" applyProtection="1">
      <alignment horizontal="left" vertical="top" wrapText="1"/>
      <protection hidden="1"/>
    </xf>
    <xf numFmtId="0" fontId="27" fillId="0" borderId="0" xfId="0" applyFont="1" applyBorder="1" applyAlignment="1" applyProtection="1">
      <alignment horizontal="left" vertical="center"/>
      <protection hidden="1"/>
    </xf>
    <xf numFmtId="0" fontId="23" fillId="0" borderId="97" xfId="5" applyFont="1" applyFill="1" applyBorder="1" applyAlignment="1" applyProtection="1">
      <alignment horizontal="center" vertical="center"/>
      <protection locked="0"/>
    </xf>
    <xf numFmtId="0" fontId="25" fillId="0" borderId="0" xfId="5" applyFont="1" applyFill="1" applyBorder="1" applyAlignment="1" applyProtection="1">
      <alignment horizontal="left" vertical="center" wrapText="1"/>
      <protection hidden="1"/>
    </xf>
    <xf numFmtId="0" fontId="25" fillId="0" borderId="50" xfId="5" applyFont="1" applyFill="1" applyBorder="1" applyAlignment="1" applyProtection="1">
      <alignment horizontal="left" vertical="center" wrapText="1"/>
      <protection hidden="1"/>
    </xf>
    <xf numFmtId="0" fontId="126" fillId="48" borderId="40" xfId="0" applyFont="1" applyFill="1" applyBorder="1" applyAlignment="1" applyProtection="1">
      <alignment horizontal="center"/>
      <protection hidden="1"/>
    </xf>
    <xf numFmtId="0" fontId="23" fillId="0" borderId="97" xfId="5" applyFont="1" applyFill="1" applyBorder="1" applyAlignment="1" applyProtection="1">
      <alignment horizontal="left" vertical="top" wrapText="1"/>
      <protection locked="0"/>
    </xf>
    <xf numFmtId="0" fontId="25" fillId="0" borderId="86" xfId="5" applyFont="1" applyFill="1" applyBorder="1" applyAlignment="1" applyProtection="1">
      <alignment horizontal="left" vertical="center" wrapText="1"/>
      <protection hidden="1"/>
    </xf>
    <xf numFmtId="0" fontId="25" fillId="0" borderId="101" xfId="5" applyFont="1" applyFill="1" applyBorder="1" applyAlignment="1" applyProtection="1">
      <alignment horizontal="left" vertical="center" wrapText="1"/>
      <protection hidden="1"/>
    </xf>
    <xf numFmtId="0" fontId="23" fillId="0" borderId="97" xfId="122" applyFont="1" applyFill="1" applyBorder="1" applyAlignment="1" applyProtection="1">
      <alignment horizontal="left" vertical="top"/>
      <protection locked="0"/>
    </xf>
    <xf numFmtId="0" fontId="79" fillId="48" borderId="40" xfId="0" applyFont="1" applyFill="1" applyBorder="1" applyAlignment="1" applyProtection="1">
      <alignment horizontal="center" vertical="center"/>
      <protection hidden="1"/>
    </xf>
    <xf numFmtId="0" fontId="79" fillId="48" borderId="59" xfId="0" applyFont="1" applyFill="1" applyBorder="1" applyAlignment="1" applyProtection="1">
      <alignment horizontal="center" vertical="center"/>
      <protection hidden="1"/>
    </xf>
    <xf numFmtId="0" fontId="126" fillId="48" borderId="40" xfId="0" applyFont="1" applyFill="1" applyBorder="1" applyAlignment="1" applyProtection="1">
      <alignment horizontal="center" vertical="center"/>
      <protection hidden="1"/>
    </xf>
    <xf numFmtId="0" fontId="126" fillId="48" borderId="59" xfId="0" applyFont="1" applyFill="1" applyBorder="1" applyAlignment="1" applyProtection="1">
      <alignment horizontal="center" vertical="center"/>
      <protection hidden="1"/>
    </xf>
    <xf numFmtId="3" fontId="130" fillId="49" borderId="53" xfId="239" applyNumberFormat="1" applyFont="1" applyFill="1" applyBorder="1" applyAlignment="1" applyProtection="1">
      <alignment horizontal="center" vertical="center" wrapText="1"/>
      <protection hidden="1"/>
    </xf>
    <xf numFmtId="3" fontId="130" fillId="49" borderId="54" xfId="239" applyNumberFormat="1" applyFont="1" applyFill="1" applyBorder="1" applyAlignment="1" applyProtection="1">
      <alignment horizontal="center" vertical="center" wrapText="1"/>
      <protection hidden="1"/>
    </xf>
    <xf numFmtId="3" fontId="62" fillId="0" borderId="109" xfId="236" applyNumberFormat="1" applyFont="1" applyFill="1" applyBorder="1" applyAlignment="1" applyProtection="1">
      <alignment horizontal="center" vertical="center"/>
      <protection hidden="1"/>
    </xf>
    <xf numFmtId="3" fontId="62" fillId="0" borderId="110" xfId="236" applyNumberFormat="1" applyFont="1" applyFill="1" applyBorder="1" applyAlignment="1" applyProtection="1">
      <alignment horizontal="center" vertical="center"/>
      <protection hidden="1"/>
    </xf>
    <xf numFmtId="3" fontId="129" fillId="0" borderId="59" xfId="236" applyNumberFormat="1" applyFont="1" applyFill="1" applyBorder="1" applyAlignment="1" applyProtection="1">
      <alignment horizontal="center" vertical="center"/>
      <protection hidden="1"/>
    </xf>
    <xf numFmtId="3" fontId="27" fillId="0" borderId="109" xfId="0" applyNumberFormat="1" applyFont="1" applyFill="1" applyBorder="1" applyAlignment="1" applyProtection="1">
      <alignment horizontal="center" vertical="center" wrapText="1"/>
      <protection hidden="1"/>
    </xf>
    <xf numFmtId="3" fontId="27" fillId="0" borderId="110" xfId="0" applyNumberFormat="1" applyFont="1" applyFill="1" applyBorder="1" applyAlignment="1" applyProtection="1">
      <alignment horizontal="center" vertical="center" wrapText="1"/>
      <protection hidden="1"/>
    </xf>
    <xf numFmtId="3" fontId="94" fillId="29" borderId="0" xfId="237" applyNumberFormat="1" applyFont="1" applyFill="1" applyBorder="1" applyAlignment="1" applyProtection="1">
      <alignment horizontal="center" vertical="center"/>
      <protection hidden="1"/>
    </xf>
    <xf numFmtId="3" fontId="62" fillId="0" borderId="98" xfId="237" applyNumberFormat="1" applyFont="1" applyFill="1" applyBorder="1" applyAlignment="1" applyProtection="1">
      <alignment horizontal="center" vertical="center" wrapText="1"/>
      <protection locked="0"/>
    </xf>
    <xf numFmtId="3" fontId="62" fillId="0" borderId="99" xfId="237" applyNumberFormat="1" applyFont="1" applyFill="1" applyBorder="1" applyAlignment="1" applyProtection="1">
      <alignment horizontal="center" vertical="center" wrapText="1"/>
      <protection locked="0"/>
    </xf>
    <xf numFmtId="3" fontId="62" fillId="0" borderId="98" xfId="237" applyNumberFormat="1" applyFont="1" applyFill="1" applyBorder="1" applyAlignment="1" applyProtection="1">
      <alignment horizontal="center" vertical="center"/>
      <protection locked="0"/>
    </xf>
    <xf numFmtId="3" fontId="62" fillId="0" borderId="99" xfId="237" applyNumberFormat="1" applyFont="1" applyFill="1" applyBorder="1" applyAlignment="1" applyProtection="1">
      <alignment horizontal="center" vertical="center"/>
      <protection locked="0"/>
    </xf>
    <xf numFmtId="0" fontId="25" fillId="29" borderId="0" xfId="237" applyFont="1" applyFill="1" applyBorder="1" applyAlignment="1" applyProtection="1">
      <alignment horizontal="center" vertical="center"/>
      <protection hidden="1"/>
    </xf>
    <xf numFmtId="3" fontId="130" fillId="49" borderId="63" xfId="239" applyNumberFormat="1" applyFont="1" applyFill="1" applyBorder="1" applyAlignment="1" applyProtection="1">
      <alignment horizontal="center" vertical="center" wrapText="1"/>
      <protection hidden="1"/>
    </xf>
    <xf numFmtId="3" fontId="130" fillId="49" borderId="64" xfId="239" applyNumberFormat="1" applyFont="1" applyFill="1" applyBorder="1" applyAlignment="1" applyProtection="1">
      <alignment horizontal="center" vertical="center" wrapText="1"/>
      <protection hidden="1"/>
    </xf>
    <xf numFmtId="14" fontId="27" fillId="0" borderId="98" xfId="0" applyNumberFormat="1" applyFont="1" applyFill="1" applyBorder="1" applyAlignment="1" applyProtection="1">
      <alignment horizontal="center" vertical="center" wrapText="1"/>
      <protection locked="0"/>
    </xf>
    <xf numFmtId="14" fontId="27" fillId="0" borderId="99" xfId="0" applyNumberFormat="1" applyFont="1" applyFill="1" applyBorder="1" applyAlignment="1" applyProtection="1">
      <alignment horizontal="center" vertical="center" wrapText="1"/>
      <protection locked="0"/>
    </xf>
    <xf numFmtId="49" fontId="62" fillId="0" borderId="98" xfId="236" applyNumberFormat="1" applyFont="1" applyFill="1" applyBorder="1" applyAlignment="1" applyProtection="1">
      <alignment horizontal="center" vertical="center"/>
      <protection hidden="1"/>
    </xf>
    <xf numFmtId="49" fontId="62" fillId="0" borderId="100" xfId="236" applyNumberFormat="1" applyFont="1" applyFill="1" applyBorder="1" applyAlignment="1" applyProtection="1">
      <alignment horizontal="center" vertical="center"/>
      <protection hidden="1"/>
    </xf>
    <xf numFmtId="49" fontId="62" fillId="0" borderId="99" xfId="236" applyNumberFormat="1" applyFont="1" applyFill="1" applyBorder="1" applyAlignment="1" applyProtection="1">
      <alignment horizontal="center" vertical="center"/>
      <protection hidden="1"/>
    </xf>
    <xf numFmtId="164" fontId="62" fillId="49" borderId="63" xfId="236" applyNumberFormat="1" applyFont="1" applyFill="1" applyBorder="1" applyAlignment="1" applyProtection="1">
      <alignment horizontal="center" vertical="center"/>
      <protection hidden="1"/>
    </xf>
    <xf numFmtId="164" fontId="62" fillId="49" borderId="64" xfId="236" applyNumberFormat="1" applyFont="1" applyFill="1" applyBorder="1" applyAlignment="1" applyProtection="1">
      <alignment horizontal="center" vertical="center"/>
      <protection hidden="1"/>
    </xf>
    <xf numFmtId="164" fontId="62" fillId="49" borderId="53" xfId="236" applyNumberFormat="1" applyFont="1" applyFill="1" applyBorder="1" applyAlignment="1" applyProtection="1">
      <alignment horizontal="center" vertical="center"/>
      <protection hidden="1"/>
    </xf>
    <xf numFmtId="164" fontId="62" fillId="49" borderId="54" xfId="236" applyNumberFormat="1" applyFont="1" applyFill="1" applyBorder="1" applyAlignment="1" applyProtection="1">
      <alignment horizontal="center" vertical="center"/>
      <protection hidden="1"/>
    </xf>
    <xf numFmtId="1" fontId="62" fillId="49" borderId="53" xfId="236" applyNumberFormat="1" applyFont="1" applyFill="1" applyBorder="1" applyAlignment="1" applyProtection="1">
      <alignment horizontal="center" vertical="center"/>
      <protection hidden="1"/>
    </xf>
    <xf numFmtId="1" fontId="62" fillId="49" borderId="54" xfId="236" applyNumberFormat="1" applyFont="1" applyFill="1" applyBorder="1" applyAlignment="1" applyProtection="1">
      <alignment horizontal="center" vertical="center"/>
      <protection hidden="1"/>
    </xf>
    <xf numFmtId="1" fontId="62" fillId="49" borderId="60" xfId="236" applyNumberFormat="1" applyFont="1" applyFill="1" applyBorder="1" applyAlignment="1" applyProtection="1">
      <alignment horizontal="center" vertical="center"/>
      <protection hidden="1"/>
    </xf>
    <xf numFmtId="1" fontId="62" fillId="49" borderId="119" xfId="236" applyNumberFormat="1" applyFont="1" applyFill="1" applyBorder="1" applyAlignment="1" applyProtection="1">
      <alignment horizontal="center" vertical="center"/>
      <protection hidden="1"/>
    </xf>
    <xf numFmtId="3" fontId="94" fillId="29" borderId="0" xfId="237" applyNumberFormat="1" applyFont="1" applyFill="1" applyBorder="1" applyAlignment="1" applyProtection="1">
      <alignment horizontal="center" vertical="top" wrapText="1"/>
      <protection hidden="1"/>
    </xf>
    <xf numFmtId="3" fontId="76" fillId="49" borderId="53" xfId="239" applyNumberFormat="1" applyFont="1" applyFill="1" applyBorder="1" applyAlignment="1" applyProtection="1">
      <alignment horizontal="center" vertical="center" wrapText="1"/>
      <protection hidden="1"/>
    </xf>
    <xf numFmtId="3" fontId="76" fillId="49" borderId="54" xfId="239" applyNumberFormat="1" applyFont="1" applyFill="1" applyBorder="1" applyAlignment="1" applyProtection="1">
      <alignment horizontal="center" vertical="center" wrapText="1"/>
      <protection hidden="1"/>
    </xf>
    <xf numFmtId="176" fontId="88" fillId="49" borderId="53" xfId="239" applyNumberFormat="1" applyFont="1" applyFill="1" applyBorder="1" applyAlignment="1" applyProtection="1">
      <alignment horizontal="center" vertical="center" wrapText="1"/>
      <protection hidden="1"/>
    </xf>
    <xf numFmtId="176" fontId="88" fillId="49" borderId="54" xfId="239" applyNumberFormat="1" applyFont="1" applyFill="1" applyBorder="1" applyAlignment="1" applyProtection="1">
      <alignment horizontal="center" vertical="center" wrapText="1"/>
      <protection hidden="1"/>
    </xf>
    <xf numFmtId="3" fontId="62" fillId="49" borderId="60" xfId="239" applyNumberFormat="1" applyFont="1" applyFill="1" applyBorder="1" applyAlignment="1" applyProtection="1">
      <alignment horizontal="center" vertical="center" wrapText="1"/>
      <protection hidden="1"/>
    </xf>
    <xf numFmtId="3" fontId="62" fillId="49" borderId="119" xfId="239" applyNumberFormat="1" applyFont="1" applyFill="1" applyBorder="1" applyAlignment="1" applyProtection="1">
      <alignment horizontal="center" vertical="center" wrapText="1"/>
      <protection hidden="1"/>
    </xf>
    <xf numFmtId="3" fontId="88" fillId="49" borderId="60" xfId="239" applyNumberFormat="1" applyFont="1" applyFill="1" applyBorder="1" applyAlignment="1" applyProtection="1">
      <alignment horizontal="center" vertical="center" wrapText="1"/>
      <protection hidden="1"/>
    </xf>
    <xf numFmtId="3" fontId="88" fillId="49" borderId="119" xfId="239" applyNumberFormat="1" applyFont="1" applyFill="1" applyBorder="1" applyAlignment="1" applyProtection="1">
      <alignment horizontal="center" vertical="center" wrapText="1"/>
      <protection hidden="1"/>
    </xf>
    <xf numFmtId="3" fontId="25" fillId="29" borderId="0" xfId="237" applyNumberFormat="1" applyFont="1" applyFill="1" applyBorder="1" applyAlignment="1" applyProtection="1">
      <alignment horizontal="center" vertical="center"/>
      <protection hidden="1"/>
    </xf>
    <xf numFmtId="3" fontId="25" fillId="0" borderId="111" xfId="236" applyNumberFormat="1" applyFont="1" applyFill="1" applyBorder="1" applyAlignment="1" applyProtection="1">
      <alignment horizontal="left" vertical="top"/>
      <protection locked="0"/>
    </xf>
    <xf numFmtId="3" fontId="25" fillId="0" borderId="112" xfId="236" applyNumberFormat="1" applyFont="1" applyFill="1" applyBorder="1" applyAlignment="1" applyProtection="1">
      <alignment horizontal="left" vertical="top"/>
      <protection locked="0"/>
    </xf>
    <xf numFmtId="3" fontId="25" fillId="0" borderId="113" xfId="236" applyNumberFormat="1" applyFont="1" applyFill="1" applyBorder="1" applyAlignment="1" applyProtection="1">
      <alignment horizontal="left" vertical="top"/>
      <protection locked="0"/>
    </xf>
    <xf numFmtId="3" fontId="25" fillId="0" borderId="114" xfId="236" applyNumberFormat="1" applyFont="1" applyFill="1" applyBorder="1" applyAlignment="1" applyProtection="1">
      <alignment horizontal="left" vertical="top"/>
      <protection locked="0"/>
    </xf>
    <xf numFmtId="3" fontId="25" fillId="0" borderId="0" xfId="236" applyNumberFormat="1" applyFont="1" applyFill="1" applyBorder="1" applyAlignment="1" applyProtection="1">
      <alignment horizontal="left" vertical="top"/>
      <protection locked="0"/>
    </xf>
    <xf numFmtId="3" fontId="25" fillId="0" borderId="115" xfId="236" applyNumberFormat="1" applyFont="1" applyFill="1" applyBorder="1" applyAlignment="1" applyProtection="1">
      <alignment horizontal="left" vertical="top"/>
      <protection locked="0"/>
    </xf>
    <xf numFmtId="3" fontId="25" fillId="0" borderId="116" xfId="236" applyNumberFormat="1" applyFont="1" applyFill="1" applyBorder="1" applyAlignment="1" applyProtection="1">
      <alignment horizontal="left" vertical="top"/>
      <protection locked="0"/>
    </xf>
    <xf numFmtId="3" fontId="25" fillId="0" borderId="117" xfId="236" applyNumberFormat="1" applyFont="1" applyFill="1" applyBorder="1" applyAlignment="1" applyProtection="1">
      <alignment horizontal="left" vertical="top"/>
      <protection locked="0"/>
    </xf>
    <xf numFmtId="3" fontId="25" fillId="0" borderId="118" xfId="236" applyNumberFormat="1" applyFont="1" applyFill="1" applyBorder="1" applyAlignment="1" applyProtection="1">
      <alignment horizontal="left" vertical="top"/>
      <protection locked="0"/>
    </xf>
    <xf numFmtId="164" fontId="25" fillId="0" borderId="0" xfId="239" applyNumberFormat="1" applyFont="1" applyFill="1" applyBorder="1" applyAlignment="1" applyProtection="1">
      <alignment horizontal="center" vertical="center" wrapText="1"/>
      <protection hidden="1"/>
    </xf>
    <xf numFmtId="164" fontId="25" fillId="0" borderId="98" xfId="239" applyNumberFormat="1" applyFont="1" applyFill="1" applyBorder="1" applyAlignment="1" applyProtection="1">
      <alignment horizontal="center" vertical="center" wrapText="1"/>
      <protection locked="0"/>
    </xf>
    <xf numFmtId="164" fontId="25" fillId="0" borderId="99" xfId="239" applyNumberFormat="1" applyFont="1" applyFill="1" applyBorder="1" applyAlignment="1" applyProtection="1">
      <alignment horizontal="center" vertical="center" wrapText="1"/>
      <protection locked="0"/>
    </xf>
    <xf numFmtId="3" fontId="131" fillId="0" borderId="41" xfId="2" applyNumberFormat="1" applyFont="1" applyFill="1" applyBorder="1" applyAlignment="1" applyProtection="1">
      <alignment horizontal="center" vertical="center" wrapText="1"/>
      <protection hidden="1"/>
    </xf>
    <xf numFmtId="3" fontId="129" fillId="0" borderId="41" xfId="2" applyNumberFormat="1" applyFont="1" applyFill="1" applyBorder="1" applyAlignment="1" applyProtection="1">
      <alignment horizontal="center" vertical="center" wrapText="1"/>
      <protection hidden="1"/>
    </xf>
    <xf numFmtId="164" fontId="25" fillId="50" borderId="60" xfId="239" applyNumberFormat="1" applyFont="1" applyFill="1" applyBorder="1" applyAlignment="1" applyProtection="1">
      <alignment horizontal="center" vertical="center" wrapText="1"/>
      <protection hidden="1"/>
    </xf>
    <xf numFmtId="164" fontId="25" fillId="50" borderId="119" xfId="239" applyNumberFormat="1" applyFont="1" applyFill="1" applyBorder="1" applyAlignment="1" applyProtection="1">
      <alignment horizontal="center" vertical="center" wrapText="1"/>
      <protection hidden="1"/>
    </xf>
    <xf numFmtId="3" fontId="135" fillId="0" borderId="0" xfId="236" applyNumberFormat="1" applyFont="1" applyFill="1" applyBorder="1" applyAlignment="1" applyProtection="1">
      <alignment horizontal="center" vertical="center"/>
      <protection hidden="1"/>
    </xf>
    <xf numFmtId="3" fontId="62" fillId="0" borderId="98" xfId="236" applyNumberFormat="1" applyFont="1" applyFill="1" applyBorder="1" applyAlignment="1" applyProtection="1">
      <alignment horizontal="center" vertical="center"/>
      <protection hidden="1"/>
    </xf>
    <xf numFmtId="3" fontId="62" fillId="0" borderId="100" xfId="236" applyNumberFormat="1" applyFont="1" applyFill="1" applyBorder="1" applyAlignment="1" applyProtection="1">
      <alignment horizontal="center" vertical="center"/>
      <protection hidden="1"/>
    </xf>
    <xf numFmtId="3" fontId="62" fillId="0" borderId="99" xfId="236" applyNumberFormat="1" applyFont="1" applyFill="1" applyBorder="1" applyAlignment="1" applyProtection="1">
      <alignment horizontal="center" vertical="center"/>
      <protection hidden="1"/>
    </xf>
    <xf numFmtId="3" fontId="88" fillId="49" borderId="53" xfId="239" applyNumberFormat="1" applyFont="1" applyFill="1" applyBorder="1" applyAlignment="1" applyProtection="1">
      <alignment horizontal="center" vertical="center" wrapText="1"/>
      <protection hidden="1"/>
    </xf>
    <xf numFmtId="3" fontId="88" fillId="49" borderId="54" xfId="239" applyNumberFormat="1" applyFont="1" applyFill="1" applyBorder="1" applyAlignment="1" applyProtection="1">
      <alignment horizontal="center" vertical="center" wrapText="1"/>
      <protection hidden="1"/>
    </xf>
    <xf numFmtId="164" fontId="25" fillId="50" borderId="61" xfId="239" applyNumberFormat="1" applyFont="1" applyFill="1" applyBorder="1" applyAlignment="1" applyProtection="1">
      <alignment horizontal="center" vertical="center" wrapText="1"/>
      <protection hidden="1"/>
    </xf>
    <xf numFmtId="164" fontId="25" fillId="50" borderId="62" xfId="239" applyNumberFormat="1" applyFont="1" applyFill="1" applyBorder="1" applyAlignment="1" applyProtection="1">
      <alignment horizontal="center" vertical="center" wrapText="1"/>
      <protection hidden="1"/>
    </xf>
    <xf numFmtId="164" fontId="25" fillId="50" borderId="63" xfId="239" applyNumberFormat="1" applyFont="1" applyFill="1" applyBorder="1" applyAlignment="1" applyProtection="1">
      <alignment horizontal="center" vertical="center" wrapText="1"/>
      <protection hidden="1"/>
    </xf>
    <xf numFmtId="164" fontId="25" fillId="50" borderId="64" xfId="239" applyNumberFormat="1" applyFont="1" applyFill="1" applyBorder="1" applyAlignment="1" applyProtection="1">
      <alignment horizontal="center" vertical="center" wrapText="1"/>
      <protection hidden="1"/>
    </xf>
    <xf numFmtId="3" fontId="62" fillId="0" borderId="0" xfId="237" applyNumberFormat="1" applyFont="1" applyFill="1" applyBorder="1" applyAlignment="1" applyProtection="1">
      <alignment horizontal="center" vertical="top" wrapText="1"/>
      <protection hidden="1"/>
    </xf>
    <xf numFmtId="3" fontId="62" fillId="29" borderId="47" xfId="236" applyNumberFormat="1" applyFont="1" applyFill="1" applyBorder="1" applyAlignment="1" applyProtection="1">
      <alignment horizontal="center" vertical="top" wrapText="1"/>
      <protection hidden="1"/>
    </xf>
    <xf numFmtId="3" fontId="62" fillId="29" borderId="49" xfId="236" applyNumberFormat="1" applyFont="1" applyFill="1" applyBorder="1" applyAlignment="1" applyProtection="1">
      <alignment horizontal="center" vertical="top" wrapText="1"/>
      <protection hidden="1"/>
    </xf>
    <xf numFmtId="0" fontId="90" fillId="50" borderId="52" xfId="269" applyFont="1" applyFill="1" applyBorder="1" applyAlignment="1" applyProtection="1">
      <alignment horizontal="left" vertical="center" wrapText="1"/>
      <protection hidden="1"/>
    </xf>
    <xf numFmtId="0" fontId="91" fillId="29" borderId="0" xfId="256" applyFont="1" applyFill="1" applyBorder="1" applyAlignment="1" applyProtection="1">
      <alignment horizontal="center" vertical="center" wrapText="1"/>
      <protection hidden="1"/>
    </xf>
    <xf numFmtId="0" fontId="72" fillId="29" borderId="0" xfId="256" applyFont="1" applyFill="1" applyBorder="1" applyAlignment="1" applyProtection="1">
      <alignment horizontal="center" vertical="center" wrapText="1"/>
      <protection hidden="1"/>
    </xf>
    <xf numFmtId="3" fontId="25" fillId="50" borderId="42" xfId="256" applyNumberFormat="1" applyFont="1" applyFill="1" applyBorder="1" applyAlignment="1" applyProtection="1">
      <alignment horizontal="left" vertical="center"/>
      <protection hidden="1"/>
    </xf>
    <xf numFmtId="0" fontId="62" fillId="0" borderId="57" xfId="256" applyFont="1" applyFill="1" applyBorder="1" applyAlignment="1" applyProtection="1">
      <alignment horizontal="center" vertical="center"/>
      <protection hidden="1"/>
    </xf>
    <xf numFmtId="0" fontId="62" fillId="0" borderId="58" xfId="256" applyFont="1" applyFill="1" applyBorder="1" applyAlignment="1" applyProtection="1">
      <alignment horizontal="center" vertical="center"/>
      <protection hidden="1"/>
    </xf>
    <xf numFmtId="0" fontId="101" fillId="51" borderId="41" xfId="256" applyFont="1" applyFill="1" applyBorder="1" applyAlignment="1" applyProtection="1">
      <alignment horizontal="left" vertical="center"/>
      <protection hidden="1"/>
    </xf>
    <xf numFmtId="0" fontId="101" fillId="51" borderId="42" xfId="256" applyFont="1" applyFill="1" applyBorder="1" applyAlignment="1" applyProtection="1">
      <alignment horizontal="left" vertical="center"/>
      <protection hidden="1"/>
    </xf>
    <xf numFmtId="0" fontId="101" fillId="51" borderId="43" xfId="256" applyFont="1" applyFill="1" applyBorder="1" applyAlignment="1" applyProtection="1">
      <alignment horizontal="left" vertical="center"/>
      <protection hidden="1"/>
    </xf>
    <xf numFmtId="0" fontId="25" fillId="29" borderId="61" xfId="0" applyFont="1" applyFill="1" applyBorder="1" applyAlignment="1">
      <alignment horizontal="center" vertical="center"/>
    </xf>
    <xf numFmtId="0" fontId="25" fillId="29" borderId="62" xfId="0" applyFont="1" applyFill="1" applyBorder="1" applyAlignment="1">
      <alignment horizontal="center" vertical="center"/>
    </xf>
    <xf numFmtId="49" fontId="101" fillId="53" borderId="21" xfId="256" applyNumberFormat="1" applyFont="1" applyFill="1" applyBorder="1" applyAlignment="1" applyProtection="1">
      <alignment horizontal="left" vertical="center" wrapText="1"/>
    </xf>
    <xf numFmtId="49" fontId="101" fillId="53" borderId="33" xfId="256" applyNumberFormat="1" applyFont="1" applyFill="1" applyBorder="1" applyAlignment="1" applyProtection="1">
      <alignment horizontal="left" vertical="center" wrapText="1"/>
    </xf>
    <xf numFmtId="49" fontId="101" fillId="53" borderId="74" xfId="256" applyNumberFormat="1" applyFont="1" applyFill="1" applyBorder="1" applyAlignment="1" applyProtection="1">
      <alignment horizontal="left" vertical="center" wrapText="1"/>
    </xf>
    <xf numFmtId="167" fontId="117" fillId="3" borderId="78" xfId="6" applyNumberFormat="1" applyFont="1" applyFill="1" applyBorder="1" applyAlignment="1" applyProtection="1">
      <alignment horizontal="left" vertical="top" wrapText="1"/>
      <protection locked="0"/>
    </xf>
    <xf numFmtId="167" fontId="117" fillId="3" borderId="79" xfId="6" applyNumberFormat="1" applyFont="1" applyFill="1" applyBorder="1" applyAlignment="1" applyProtection="1">
      <alignment horizontal="left" vertical="top" wrapText="1"/>
      <protection locked="0"/>
    </xf>
    <xf numFmtId="167" fontId="117" fillId="3" borderId="80" xfId="6" applyNumberFormat="1" applyFont="1" applyFill="1" applyBorder="1" applyAlignment="1" applyProtection="1">
      <alignment horizontal="left" vertical="top" wrapText="1"/>
      <protection locked="0"/>
    </xf>
    <xf numFmtId="167" fontId="117" fillId="3" borderId="81" xfId="6" applyNumberFormat="1" applyFont="1" applyFill="1" applyBorder="1" applyAlignment="1" applyProtection="1">
      <alignment horizontal="left" vertical="top" wrapText="1"/>
      <protection locked="0"/>
    </xf>
    <xf numFmtId="167" fontId="117" fillId="3" borderId="0" xfId="6" applyNumberFormat="1" applyFont="1" applyFill="1" applyBorder="1" applyAlignment="1" applyProtection="1">
      <alignment horizontal="left" vertical="top" wrapText="1"/>
      <protection locked="0"/>
    </xf>
    <xf numFmtId="167" fontId="117" fillId="3" borderId="82" xfId="6" applyNumberFormat="1" applyFont="1" applyFill="1" applyBorder="1" applyAlignment="1" applyProtection="1">
      <alignment horizontal="left" vertical="top" wrapText="1"/>
      <protection locked="0"/>
    </xf>
    <xf numFmtId="167" fontId="117" fillId="3" borderId="83" xfId="6" applyNumberFormat="1" applyFont="1" applyFill="1" applyBorder="1" applyAlignment="1" applyProtection="1">
      <alignment horizontal="left" vertical="top" wrapText="1"/>
      <protection locked="0"/>
    </xf>
    <xf numFmtId="167" fontId="117" fillId="3" borderId="84" xfId="6" applyNumberFormat="1" applyFont="1" applyFill="1" applyBorder="1" applyAlignment="1" applyProtection="1">
      <alignment horizontal="left" vertical="top" wrapText="1"/>
      <protection locked="0"/>
    </xf>
    <xf numFmtId="167" fontId="117" fillId="3" borderId="85" xfId="6" applyNumberFormat="1" applyFont="1" applyFill="1" applyBorder="1" applyAlignment="1" applyProtection="1">
      <alignment horizontal="left" vertical="top" wrapText="1"/>
      <protection locked="0"/>
    </xf>
    <xf numFmtId="164" fontId="100" fillId="29" borderId="41" xfId="275" applyNumberFormat="1" applyFont="1" applyFill="1" applyBorder="1" applyAlignment="1" applyProtection="1">
      <alignment horizontal="center" vertical="center" wrapText="1"/>
      <protection locked="0"/>
    </xf>
    <xf numFmtId="164" fontId="100" fillId="29" borderId="43" xfId="275" applyNumberFormat="1" applyFont="1" applyFill="1" applyBorder="1" applyAlignment="1" applyProtection="1">
      <alignment horizontal="center" vertical="center" wrapText="1"/>
      <protection locked="0"/>
    </xf>
    <xf numFmtId="44" fontId="23" fillId="0" borderId="47" xfId="275" applyNumberFormat="1" applyFont="1" applyBorder="1" applyAlignment="1" applyProtection="1">
      <alignment horizontal="left" vertical="center"/>
      <protection hidden="1"/>
    </xf>
    <xf numFmtId="44" fontId="23" fillId="0" borderId="0" xfId="275" applyNumberFormat="1" applyFont="1" applyBorder="1" applyAlignment="1" applyProtection="1">
      <alignment horizontal="left" vertical="center"/>
      <protection hidden="1"/>
    </xf>
    <xf numFmtId="0" fontId="23" fillId="42" borderId="41" xfId="275" applyFont="1" applyFill="1" applyBorder="1" applyAlignment="1" applyProtection="1">
      <alignment horizontal="left" vertical="center"/>
      <protection locked="0"/>
    </xf>
    <xf numFmtId="0" fontId="23" fillId="42" borderId="42" xfId="275" applyFont="1" applyFill="1" applyBorder="1" applyAlignment="1" applyProtection="1">
      <alignment horizontal="left" vertical="center"/>
      <protection locked="0"/>
    </xf>
    <xf numFmtId="0" fontId="23" fillId="42" borderId="43" xfId="275" applyFont="1" applyFill="1" applyBorder="1" applyAlignment="1" applyProtection="1">
      <alignment horizontal="left" vertical="center"/>
      <protection locked="0"/>
    </xf>
    <xf numFmtId="0" fontId="97" fillId="42" borderId="47" xfId="275" applyFont="1" applyFill="1" applyBorder="1" applyAlignment="1" applyProtection="1">
      <alignment vertical="center"/>
      <protection locked="0"/>
    </xf>
    <xf numFmtId="0" fontId="97" fillId="42" borderId="0" xfId="275" applyFont="1" applyFill="1" applyBorder="1" applyAlignment="1" applyProtection="1">
      <alignment vertical="center"/>
      <protection locked="0"/>
    </xf>
    <xf numFmtId="0" fontId="100" fillId="29" borderId="41" xfId="275" applyFont="1" applyFill="1" applyBorder="1" applyAlignment="1" applyProtection="1">
      <alignment horizontal="left" vertical="center" wrapText="1"/>
      <protection locked="0"/>
    </xf>
    <xf numFmtId="0" fontId="100" fillId="29" borderId="42" xfId="275" applyFont="1" applyFill="1" applyBorder="1" applyAlignment="1" applyProtection="1">
      <alignment horizontal="left" vertical="center" wrapText="1"/>
      <protection locked="0"/>
    </xf>
    <xf numFmtId="0" fontId="100" fillId="29" borderId="43" xfId="275" applyFont="1" applyFill="1" applyBorder="1" applyAlignment="1" applyProtection="1">
      <alignment horizontal="left" vertical="center" wrapText="1"/>
      <protection locked="0"/>
    </xf>
    <xf numFmtId="44" fontId="23" fillId="0" borderId="41" xfId="275" applyNumberFormat="1" applyFont="1" applyFill="1" applyBorder="1" applyAlignment="1" applyProtection="1">
      <alignment horizontal="left" vertical="center" wrapText="1"/>
    </xf>
    <xf numFmtId="44" fontId="23" fillId="0" borderId="43" xfId="275" applyNumberFormat="1" applyFont="1" applyFill="1" applyBorder="1" applyAlignment="1" applyProtection="1">
      <alignment horizontal="left" vertical="center" wrapText="1"/>
    </xf>
    <xf numFmtId="3" fontId="23" fillId="0" borderId="41" xfId="275" applyNumberFormat="1" applyFont="1" applyFill="1" applyBorder="1" applyAlignment="1" applyProtection="1">
      <alignment horizontal="right" vertical="center"/>
    </xf>
    <xf numFmtId="3" fontId="23" fillId="0" borderId="43" xfId="275" applyNumberFormat="1" applyFont="1" applyFill="1" applyBorder="1" applyAlignment="1" applyProtection="1">
      <alignment horizontal="right" vertical="center"/>
    </xf>
    <xf numFmtId="0" fontId="78" fillId="0" borderId="0" xfId="275" applyFont="1" applyFill="1" applyBorder="1" applyAlignment="1" applyProtection="1">
      <alignment horizontal="left" vertical="center"/>
      <protection hidden="1"/>
    </xf>
    <xf numFmtId="0" fontId="0" fillId="29" borderId="0" xfId="275" applyFont="1" applyFill="1" applyBorder="1" applyAlignment="1" applyProtection="1">
      <alignment horizontal="left" vertical="center" wrapText="1"/>
      <protection hidden="1"/>
    </xf>
    <xf numFmtId="0" fontId="23" fillId="29" borderId="0" xfId="275" applyFont="1" applyFill="1" applyBorder="1" applyAlignment="1" applyProtection="1">
      <alignment horizontal="left" vertical="center" wrapText="1"/>
      <protection hidden="1"/>
    </xf>
    <xf numFmtId="0" fontId="99" fillId="42" borderId="40" xfId="275" applyFont="1" applyFill="1" applyBorder="1" applyAlignment="1" applyProtection="1">
      <alignment horizontal="center" vertical="center" wrapText="1"/>
      <protection hidden="1"/>
    </xf>
    <xf numFmtId="0" fontId="99" fillId="42" borderId="41" xfId="275" applyFont="1" applyFill="1" applyBorder="1" applyAlignment="1" applyProtection="1">
      <alignment horizontal="center" vertical="center" wrapText="1"/>
      <protection hidden="1"/>
    </xf>
    <xf numFmtId="0" fontId="99" fillId="42" borderId="43" xfId="275" applyFont="1" applyFill="1" applyBorder="1" applyAlignment="1" applyProtection="1">
      <alignment horizontal="center" vertical="center" wrapText="1"/>
      <protection hidden="1"/>
    </xf>
    <xf numFmtId="0" fontId="99" fillId="42" borderId="42" xfId="275" applyFont="1" applyFill="1" applyBorder="1" applyAlignment="1" applyProtection="1">
      <alignment horizontal="center" vertical="center" wrapText="1"/>
      <protection hidden="1"/>
    </xf>
    <xf numFmtId="0" fontId="0" fillId="44" borderId="0" xfId="275" applyFont="1" applyFill="1" applyBorder="1" applyAlignment="1" applyProtection="1">
      <alignment horizontal="left" vertical="center" wrapText="1"/>
      <protection hidden="1"/>
    </xf>
    <xf numFmtId="0" fontId="23" fillId="44" borderId="0" xfId="275" applyFont="1" applyFill="1" applyBorder="1" applyAlignment="1" applyProtection="1">
      <alignment horizontal="left" vertical="center" wrapText="1"/>
      <protection hidden="1"/>
    </xf>
    <xf numFmtId="14" fontId="98" fillId="42" borderId="41" xfId="275" applyNumberFormat="1" applyFont="1" applyFill="1" applyBorder="1" applyAlignment="1" applyProtection="1">
      <alignment horizontal="left" vertical="center" wrapText="1"/>
      <protection locked="0"/>
    </xf>
    <xf numFmtId="14" fontId="98" fillId="42" borderId="42" xfId="275" applyNumberFormat="1" applyFont="1" applyFill="1" applyBorder="1" applyAlignment="1" applyProtection="1">
      <alignment horizontal="left" vertical="center" wrapText="1"/>
      <protection locked="0"/>
    </xf>
    <xf numFmtId="14" fontId="98" fillId="42" borderId="43" xfId="275" applyNumberFormat="1" applyFont="1" applyFill="1" applyBorder="1" applyAlignment="1" applyProtection="1">
      <alignment horizontal="left" vertical="center" wrapText="1"/>
      <protection locked="0"/>
    </xf>
    <xf numFmtId="0" fontId="27" fillId="29" borderId="0" xfId="275" applyFont="1" applyFill="1" applyBorder="1" applyAlignment="1" applyProtection="1">
      <alignment horizontal="center" vertical="center" wrapText="1"/>
      <protection hidden="1"/>
    </xf>
    <xf numFmtId="0" fontId="23" fillId="0" borderId="41" xfId="275" applyFont="1" applyFill="1" applyBorder="1" applyAlignment="1" applyProtection="1">
      <alignment horizontal="left" vertical="center" wrapText="1"/>
    </xf>
    <xf numFmtId="0" fontId="23" fillId="0" borderId="42" xfId="275" applyFont="1" applyFill="1" applyBorder="1" applyAlignment="1" applyProtection="1">
      <alignment horizontal="left" vertical="center" wrapText="1"/>
    </xf>
    <xf numFmtId="0" fontId="23" fillId="0" borderId="43" xfId="275" applyFont="1" applyFill="1" applyBorder="1" applyAlignment="1" applyProtection="1">
      <alignment horizontal="left" vertical="center" wrapText="1"/>
    </xf>
    <xf numFmtId="0" fontId="23" fillId="0" borderId="41" xfId="275" applyFont="1" applyBorder="1" applyAlignment="1" applyProtection="1">
      <alignment horizontal="left" vertical="center"/>
      <protection hidden="1"/>
    </xf>
    <xf numFmtId="0" fontId="23" fillId="0" borderId="43" xfId="275" applyFont="1" applyBorder="1" applyAlignment="1" applyProtection="1">
      <alignment horizontal="left" vertical="center"/>
      <protection hidden="1"/>
    </xf>
    <xf numFmtId="0" fontId="100" fillId="44" borderId="67" xfId="275" applyFont="1" applyFill="1" applyBorder="1" applyAlignment="1" applyProtection="1">
      <alignment horizontal="left" vertical="center"/>
      <protection locked="0"/>
    </xf>
    <xf numFmtId="0" fontId="100" fillId="44" borderId="68" xfId="275" applyFont="1" applyFill="1" applyBorder="1" applyAlignment="1" applyProtection="1">
      <alignment horizontal="left" vertical="center"/>
      <protection locked="0"/>
    </xf>
    <xf numFmtId="0" fontId="100" fillId="44" borderId="0" xfId="275" applyFont="1" applyFill="1" applyBorder="1" applyAlignment="1" applyProtection="1">
      <alignment horizontal="left" vertical="center"/>
      <protection locked="0"/>
    </xf>
    <xf numFmtId="172" fontId="100" fillId="44" borderId="67" xfId="275" applyNumberFormat="1" applyFont="1" applyFill="1" applyBorder="1" applyAlignment="1" applyProtection="1">
      <alignment horizontal="left" vertical="center"/>
      <protection hidden="1"/>
    </xf>
    <xf numFmtId="172" fontId="100" fillId="44" borderId="68" xfId="275" applyNumberFormat="1" applyFont="1" applyFill="1" applyBorder="1" applyAlignment="1" applyProtection="1">
      <alignment horizontal="left" vertical="center"/>
      <protection hidden="1"/>
    </xf>
    <xf numFmtId="0" fontId="78" fillId="0" borderId="0" xfId="275" applyFont="1" applyFill="1" applyAlignment="1" applyProtection="1">
      <alignment horizontal="left" vertical="center"/>
      <protection hidden="1"/>
    </xf>
    <xf numFmtId="0" fontId="97" fillId="42" borderId="41" xfId="275" applyFont="1" applyFill="1" applyBorder="1" applyAlignment="1" applyProtection="1">
      <alignment horizontal="left" vertical="center"/>
      <protection locked="0"/>
    </xf>
    <xf numFmtId="0" fontId="97" fillId="42" borderId="42" xfId="275" applyFont="1" applyFill="1" applyBorder="1" applyAlignment="1" applyProtection="1">
      <alignment horizontal="left" vertical="center"/>
      <protection locked="0"/>
    </xf>
    <xf numFmtId="0" fontId="97" fillId="42" borderId="43" xfId="275" applyFont="1" applyFill="1" applyBorder="1" applyAlignment="1" applyProtection="1">
      <alignment horizontal="left" vertical="center"/>
      <protection locked="0"/>
    </xf>
    <xf numFmtId="166" fontId="27" fillId="42" borderId="41" xfId="275" applyNumberFormat="1" applyFont="1" applyFill="1" applyBorder="1" applyAlignment="1" applyProtection="1">
      <alignment horizontal="center" vertical="center" wrapText="1"/>
      <protection locked="0"/>
    </xf>
    <xf numFmtId="166" fontId="27" fillId="42" borderId="43" xfId="275" applyNumberFormat="1" applyFont="1" applyFill="1" applyBorder="1" applyAlignment="1" applyProtection="1">
      <alignment horizontal="center" vertical="center" wrapText="1"/>
      <protection locked="0"/>
    </xf>
    <xf numFmtId="0" fontId="110" fillId="0" borderId="0" xfId="275" applyFont="1" applyFill="1" applyBorder="1" applyAlignment="1" applyProtection="1">
      <alignment horizontal="left" vertical="center" wrapText="1" indent="1"/>
      <protection hidden="1"/>
    </xf>
    <xf numFmtId="44" fontId="27" fillId="0" borderId="41" xfId="275" applyNumberFormat="1" applyFont="1" applyFill="1" applyBorder="1" applyAlignment="1" applyProtection="1">
      <alignment horizontal="center" vertical="center" wrapText="1"/>
      <protection locked="0"/>
    </xf>
    <xf numFmtId="44" fontId="27" fillId="0" borderId="43" xfId="275" applyNumberFormat="1" applyFont="1" applyFill="1" applyBorder="1" applyAlignment="1" applyProtection="1">
      <alignment horizontal="center" vertical="center" wrapText="1"/>
      <protection locked="0"/>
    </xf>
    <xf numFmtId="0" fontId="112" fillId="46" borderId="44" xfId="275" applyFont="1" applyFill="1" applyBorder="1" applyAlignment="1" applyProtection="1">
      <alignment horizontal="left" vertical="center" wrapText="1"/>
      <protection hidden="1"/>
    </xf>
    <xf numFmtId="0" fontId="112" fillId="46" borderId="45" xfId="275" applyFont="1" applyFill="1" applyBorder="1" applyAlignment="1" applyProtection="1">
      <alignment horizontal="left" vertical="center" wrapText="1"/>
      <protection hidden="1"/>
    </xf>
    <xf numFmtId="0" fontId="112" fillId="46" borderId="46" xfId="275" applyFont="1" applyFill="1" applyBorder="1" applyAlignment="1" applyProtection="1">
      <alignment horizontal="left" vertical="center" wrapText="1"/>
      <protection hidden="1"/>
    </xf>
    <xf numFmtId="0" fontId="112" fillId="46" borderId="49" xfId="275" applyFont="1" applyFill="1" applyBorder="1" applyAlignment="1" applyProtection="1">
      <alignment horizontal="left" vertical="center" wrapText="1"/>
      <protection hidden="1"/>
    </xf>
    <xf numFmtId="0" fontId="112" fillId="46" borderId="50" xfId="275" applyFont="1" applyFill="1" applyBorder="1" applyAlignment="1" applyProtection="1">
      <alignment horizontal="left" vertical="center" wrapText="1"/>
      <protection hidden="1"/>
    </xf>
    <xf numFmtId="0" fontId="112" fillId="46" borderId="51" xfId="275" applyFont="1" applyFill="1" applyBorder="1" applyAlignment="1" applyProtection="1">
      <alignment horizontal="left" vertical="center" wrapText="1"/>
      <protection hidden="1"/>
    </xf>
    <xf numFmtId="0" fontId="27" fillId="29" borderId="0" xfId="275" applyFont="1" applyFill="1" applyBorder="1" applyAlignment="1" applyProtection="1">
      <alignment horizontal="center" vertical="center"/>
      <protection hidden="1"/>
    </xf>
    <xf numFmtId="0" fontId="62" fillId="29" borderId="0" xfId="275" applyFont="1" applyFill="1" applyBorder="1" applyAlignment="1" applyProtection="1">
      <alignment horizontal="center" vertical="center"/>
      <protection hidden="1"/>
    </xf>
    <xf numFmtId="0" fontId="23" fillId="46" borderId="44" xfId="275" applyFont="1" applyFill="1" applyBorder="1" applyAlignment="1" applyProtection="1">
      <alignment horizontal="left" vertical="center" wrapText="1"/>
      <protection hidden="1"/>
    </xf>
    <xf numFmtId="0" fontId="23" fillId="46" borderId="45" xfId="275" applyFont="1" applyFill="1" applyBorder="1" applyAlignment="1" applyProtection="1">
      <alignment horizontal="left" vertical="center" wrapText="1"/>
      <protection hidden="1"/>
    </xf>
    <xf numFmtId="0" fontId="23" fillId="46" borderId="46" xfId="275" applyFont="1" applyFill="1" applyBorder="1" applyAlignment="1" applyProtection="1">
      <alignment horizontal="left" vertical="center" wrapText="1"/>
      <protection hidden="1"/>
    </xf>
    <xf numFmtId="0" fontId="23" fillId="46" borderId="47" xfId="275" applyFont="1" applyFill="1" applyBorder="1" applyAlignment="1" applyProtection="1">
      <alignment horizontal="left" vertical="center" wrapText="1"/>
      <protection hidden="1"/>
    </xf>
    <xf numFmtId="0" fontId="23" fillId="46" borderId="0" xfId="275" applyFont="1" applyFill="1" applyBorder="1" applyAlignment="1" applyProtection="1">
      <alignment horizontal="left" vertical="center" wrapText="1"/>
      <protection hidden="1"/>
    </xf>
    <xf numFmtId="0" fontId="23" fillId="46" borderId="48" xfId="275" applyFont="1" applyFill="1" applyBorder="1" applyAlignment="1" applyProtection="1">
      <alignment horizontal="left" vertical="center" wrapText="1"/>
      <protection hidden="1"/>
    </xf>
    <xf numFmtId="0" fontId="23" fillId="46" borderId="49" xfId="275" applyFont="1" applyFill="1" applyBorder="1" applyAlignment="1" applyProtection="1">
      <alignment horizontal="left" vertical="center" wrapText="1"/>
      <protection hidden="1"/>
    </xf>
    <xf numFmtId="0" fontId="23" fillId="46" borderId="50" xfId="275" applyFont="1" applyFill="1" applyBorder="1" applyAlignment="1" applyProtection="1">
      <alignment horizontal="left" vertical="center" wrapText="1"/>
      <protection hidden="1"/>
    </xf>
    <xf numFmtId="0" fontId="23" fillId="46" borderId="51" xfId="275" applyFont="1" applyFill="1" applyBorder="1" applyAlignment="1" applyProtection="1">
      <alignment horizontal="left" vertical="center" wrapText="1"/>
      <protection hidden="1"/>
    </xf>
    <xf numFmtId="0" fontId="100" fillId="46" borderId="70" xfId="275" applyFont="1" applyFill="1" applyBorder="1" applyAlignment="1" applyProtection="1">
      <alignment horizontal="left" vertical="center"/>
      <protection locked="0"/>
    </xf>
    <xf numFmtId="0" fontId="100" fillId="46" borderId="71" xfId="275" applyFont="1" applyFill="1" applyBorder="1" applyAlignment="1" applyProtection="1">
      <alignment horizontal="left" vertical="center"/>
      <protection locked="0"/>
    </xf>
    <xf numFmtId="0" fontId="100" fillId="46" borderId="0" xfId="275" applyFont="1" applyFill="1" applyBorder="1" applyAlignment="1" applyProtection="1">
      <alignment horizontal="left" vertical="center"/>
      <protection hidden="1"/>
    </xf>
    <xf numFmtId="0" fontId="0" fillId="29" borderId="0" xfId="275" applyFont="1" applyFill="1" applyBorder="1" applyAlignment="1" applyProtection="1">
      <alignment horizontal="justify" vertical="center" wrapText="1"/>
      <protection hidden="1"/>
    </xf>
    <xf numFmtId="0" fontId="23" fillId="29" borderId="0" xfId="275" applyFont="1" applyFill="1" applyBorder="1" applyAlignment="1" applyProtection="1">
      <alignment horizontal="justify" vertical="center" wrapText="1"/>
      <protection hidden="1"/>
    </xf>
    <xf numFmtId="0" fontId="23" fillId="0" borderId="41" xfId="275" applyFont="1" applyFill="1" applyBorder="1" applyAlignment="1" applyProtection="1">
      <alignment horizontal="left" vertical="center" wrapText="1"/>
      <protection locked="0" hidden="1"/>
    </xf>
    <xf numFmtId="0" fontId="23" fillId="0" borderId="42" xfId="275" applyFont="1" applyFill="1" applyBorder="1" applyAlignment="1" applyProtection="1">
      <alignment horizontal="left" vertical="center" wrapText="1"/>
      <protection locked="0" hidden="1"/>
    </xf>
    <xf numFmtId="0" fontId="23" fillId="0" borderId="43" xfId="275" applyFont="1" applyFill="1" applyBorder="1" applyAlignment="1" applyProtection="1">
      <alignment horizontal="left" vertical="center" wrapText="1"/>
      <protection locked="0" hidden="1"/>
    </xf>
  </cellXfs>
  <cellStyles count="488">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2 3" xfId="59" xr:uid="{00000000-0005-0000-0000-000008000000}"/>
    <cellStyle name="40% - Accent3 2" xfId="15" xr:uid="{00000000-0005-0000-0000-000009000000}"/>
    <cellStyle name="40% - Accent4 2" xfId="16" xr:uid="{00000000-0005-0000-0000-00000A000000}"/>
    <cellStyle name="40% - Accent5 2" xfId="17" xr:uid="{00000000-0005-0000-0000-00000B000000}"/>
    <cellStyle name="40% - Accent6 2" xfId="18" xr:uid="{00000000-0005-0000-0000-00000C000000}"/>
    <cellStyle name="60% - Accent1 2" xfId="19" xr:uid="{00000000-0005-0000-0000-00000D000000}"/>
    <cellStyle name="60% - Accent2 2" xfId="20" xr:uid="{00000000-0005-0000-0000-00000E000000}"/>
    <cellStyle name="60% - Accent3 2" xfId="21" xr:uid="{00000000-0005-0000-0000-00000F000000}"/>
    <cellStyle name="60% - Accent4 2" xfId="22" xr:uid="{00000000-0005-0000-0000-000010000000}"/>
    <cellStyle name="60% - Accent5 2" xfId="23" xr:uid="{00000000-0005-0000-0000-000011000000}"/>
    <cellStyle name="60% - Accent6 2" xfId="24" xr:uid="{00000000-0005-0000-0000-000012000000}"/>
    <cellStyle name="Accent1 2" xfId="25" xr:uid="{00000000-0005-0000-0000-000013000000}"/>
    <cellStyle name="Accent2 2" xfId="26" xr:uid="{00000000-0005-0000-0000-000014000000}"/>
    <cellStyle name="Accent3 2" xfId="27" xr:uid="{00000000-0005-0000-0000-000015000000}"/>
    <cellStyle name="Accent4 2" xfId="28" xr:uid="{00000000-0005-0000-0000-000016000000}"/>
    <cellStyle name="Accent5 2" xfId="29" xr:uid="{00000000-0005-0000-0000-000017000000}"/>
    <cellStyle name="Accent6 2" xfId="30" xr:uid="{00000000-0005-0000-0000-000018000000}"/>
    <cellStyle name="Active" xfId="240" xr:uid="{00000000-0005-0000-0000-000019000000}"/>
    <cellStyle name="Bad 2" xfId="31" xr:uid="{00000000-0005-0000-0000-00001A000000}"/>
    <cellStyle name="Calculation 2" xfId="32" xr:uid="{00000000-0005-0000-0000-00001B000000}"/>
    <cellStyle name="Calculation 2 10" xfId="281" xr:uid="{00000000-0005-0000-0000-00001C000000}"/>
    <cellStyle name="Calculation 2 2" xfId="60" xr:uid="{00000000-0005-0000-0000-00001D000000}"/>
    <cellStyle name="Calculation 2 2 2" xfId="156" xr:uid="{00000000-0005-0000-0000-00001E000000}"/>
    <cellStyle name="Calculation 2 2 2 2" xfId="283" xr:uid="{00000000-0005-0000-0000-00001F000000}"/>
    <cellStyle name="Calculation 2 2 3" xfId="282" xr:uid="{00000000-0005-0000-0000-000020000000}"/>
    <cellStyle name="Calculation 2 3" xfId="61" xr:uid="{00000000-0005-0000-0000-000021000000}"/>
    <cellStyle name="Calculation 2 3 2" xfId="157" xr:uid="{00000000-0005-0000-0000-000022000000}"/>
    <cellStyle name="Calculation 2 3 2 2" xfId="285" xr:uid="{00000000-0005-0000-0000-000023000000}"/>
    <cellStyle name="Calculation 2 3 3" xfId="284" xr:uid="{00000000-0005-0000-0000-000024000000}"/>
    <cellStyle name="Calculation 2 4" xfId="62" xr:uid="{00000000-0005-0000-0000-000025000000}"/>
    <cellStyle name="Calculation 2 4 2" xfId="158" xr:uid="{00000000-0005-0000-0000-000026000000}"/>
    <cellStyle name="Calculation 2 4 2 2" xfId="287" xr:uid="{00000000-0005-0000-0000-000027000000}"/>
    <cellStyle name="Calculation 2 4 3" xfId="286" xr:uid="{00000000-0005-0000-0000-000028000000}"/>
    <cellStyle name="Calculation 2 5" xfId="63" xr:uid="{00000000-0005-0000-0000-000029000000}"/>
    <cellStyle name="Calculation 2 5 2" xfId="159" xr:uid="{00000000-0005-0000-0000-00002A000000}"/>
    <cellStyle name="Calculation 2 5 2 2" xfId="289" xr:uid="{00000000-0005-0000-0000-00002B000000}"/>
    <cellStyle name="Calculation 2 5 3" xfId="288" xr:uid="{00000000-0005-0000-0000-00002C000000}"/>
    <cellStyle name="Calculation 2 6" xfId="64" xr:uid="{00000000-0005-0000-0000-00002D000000}"/>
    <cellStyle name="Calculation 2 6 2" xfId="160" xr:uid="{00000000-0005-0000-0000-00002E000000}"/>
    <cellStyle name="Calculation 2 6 2 2" xfId="291" xr:uid="{00000000-0005-0000-0000-00002F000000}"/>
    <cellStyle name="Calculation 2 6 3" xfId="290" xr:uid="{00000000-0005-0000-0000-000030000000}"/>
    <cellStyle name="Calculation 2 7" xfId="65" xr:uid="{00000000-0005-0000-0000-000031000000}"/>
    <cellStyle name="Calculation 2 7 2" xfId="161" xr:uid="{00000000-0005-0000-0000-000032000000}"/>
    <cellStyle name="Calculation 2 7 2 2" xfId="293" xr:uid="{00000000-0005-0000-0000-000033000000}"/>
    <cellStyle name="Calculation 2 7 3" xfId="292" xr:uid="{00000000-0005-0000-0000-000034000000}"/>
    <cellStyle name="Calculation 2 8" xfId="66" xr:uid="{00000000-0005-0000-0000-000035000000}"/>
    <cellStyle name="Calculation 2 8 2" xfId="162" xr:uid="{00000000-0005-0000-0000-000036000000}"/>
    <cellStyle name="Calculation 2 8 2 2" xfId="295" xr:uid="{00000000-0005-0000-0000-000037000000}"/>
    <cellStyle name="Calculation 2 8 3" xfId="294" xr:uid="{00000000-0005-0000-0000-000038000000}"/>
    <cellStyle name="Calculation 2 9" xfId="146" xr:uid="{00000000-0005-0000-0000-000039000000}"/>
    <cellStyle name="Calculation 2 9 2" xfId="296" xr:uid="{00000000-0005-0000-0000-00003A000000}"/>
    <cellStyle name="Check Cell 2" xfId="33" xr:uid="{00000000-0005-0000-0000-00003B000000}"/>
    <cellStyle name="Comma 2" xfId="6" xr:uid="{00000000-0005-0000-0000-00003C000000}"/>
    <cellStyle name="Comma 2 2" xfId="123" xr:uid="{00000000-0005-0000-0000-00003D000000}"/>
    <cellStyle name="Comma 2 2 2" xfId="215" xr:uid="{00000000-0005-0000-0000-00003E000000}"/>
    <cellStyle name="Comma 2 2 2 2" xfId="298" xr:uid="{00000000-0005-0000-0000-00003F000000}"/>
    <cellStyle name="Comma 2 2 3" xfId="241" xr:uid="{00000000-0005-0000-0000-000040000000}"/>
    <cellStyle name="Comma 2 2 3 2" xfId="299" xr:uid="{00000000-0005-0000-0000-000041000000}"/>
    <cellStyle name="Comma 2 2 4" xfId="297" xr:uid="{00000000-0005-0000-0000-000042000000}"/>
    <cellStyle name="Comma 2 3" xfId="145" xr:uid="{00000000-0005-0000-0000-000043000000}"/>
    <cellStyle name="Comma 2 3 2" xfId="300" xr:uid="{00000000-0005-0000-0000-000044000000}"/>
    <cellStyle name="Comma 2 4" xfId="280" xr:uid="{00000000-0005-0000-0000-000045000000}"/>
    <cellStyle name="Comma 3" xfId="58" xr:uid="{00000000-0005-0000-0000-000046000000}"/>
    <cellStyle name="Comma 3 2" xfId="242" xr:uid="{00000000-0005-0000-0000-000047000000}"/>
    <cellStyle name="Comma 3 2 2" xfId="243" xr:uid="{00000000-0005-0000-0000-000048000000}"/>
    <cellStyle name="Comma 3 2 2 2" xfId="302" xr:uid="{00000000-0005-0000-0000-000049000000}"/>
    <cellStyle name="Comma 3 2 3" xfId="244" xr:uid="{00000000-0005-0000-0000-00004A000000}"/>
    <cellStyle name="Comma 3 2 3 2" xfId="303" xr:uid="{00000000-0005-0000-0000-00004B000000}"/>
    <cellStyle name="Comma 3 2 4" xfId="301" xr:uid="{00000000-0005-0000-0000-00004C000000}"/>
    <cellStyle name="Comma 4" xfId="239" xr:uid="{00000000-0005-0000-0000-00004D000000}"/>
    <cellStyle name="Comma 4 2" xfId="245" xr:uid="{00000000-0005-0000-0000-00004E000000}"/>
    <cellStyle name="Comma 5" xfId="246" xr:uid="{00000000-0005-0000-0000-00004F000000}"/>
    <cellStyle name="Comma 5 2" xfId="304" xr:uid="{00000000-0005-0000-0000-000050000000}"/>
    <cellStyle name="Comma 6" xfId="276" xr:uid="{00000000-0005-0000-0000-000051000000}"/>
    <cellStyle name="Comma 6 2" xfId="305" xr:uid="{00000000-0005-0000-0000-000052000000}"/>
    <cellStyle name="Currency" xfId="4" builtinId="4"/>
    <cellStyle name="Currency 2" xfId="34" xr:uid="{00000000-0005-0000-0000-000054000000}"/>
    <cellStyle name="Currency 3" xfId="67" xr:uid="{00000000-0005-0000-0000-000055000000}"/>
    <cellStyle name="Currency 3 2" xfId="247" xr:uid="{00000000-0005-0000-0000-000056000000}"/>
    <cellStyle name="Currency 3 2 2" xfId="306" xr:uid="{00000000-0005-0000-0000-000057000000}"/>
    <cellStyle name="Currency 3 3" xfId="248" xr:uid="{00000000-0005-0000-0000-000058000000}"/>
    <cellStyle name="Currency 3 3 2" xfId="307" xr:uid="{00000000-0005-0000-0000-000059000000}"/>
    <cellStyle name="Currency 4" xfId="249" xr:uid="{00000000-0005-0000-0000-00005A000000}"/>
    <cellStyle name="Currency 5" xfId="250" xr:uid="{00000000-0005-0000-0000-00005B000000}"/>
    <cellStyle name="Currency 6" xfId="251" xr:uid="{00000000-0005-0000-0000-00005C000000}"/>
    <cellStyle name="Currency 6 2" xfId="308" xr:uid="{00000000-0005-0000-0000-00005D000000}"/>
    <cellStyle name="Explanatory Text 2" xfId="35" xr:uid="{00000000-0005-0000-0000-00005E000000}"/>
    <cellStyle name="Good 2" xfId="36" xr:uid="{00000000-0005-0000-0000-00005F000000}"/>
    <cellStyle name="Greyed" xfId="252" xr:uid="{00000000-0005-0000-0000-000060000000}"/>
    <cellStyle name="Heading 1" xfId="2" builtinId="16"/>
    <cellStyle name="Heading 1 2" xfId="37" xr:uid="{00000000-0005-0000-0000-000062000000}"/>
    <cellStyle name="Heading 1 3" xfId="68" xr:uid="{00000000-0005-0000-0000-000063000000}"/>
    <cellStyle name="Heading 2" xfId="1" builtinId="17"/>
    <cellStyle name="Heading 2 2" xfId="38" xr:uid="{00000000-0005-0000-0000-000065000000}"/>
    <cellStyle name="Heading 2 3" xfId="69" xr:uid="{00000000-0005-0000-0000-000066000000}"/>
    <cellStyle name="Heading 3 2" xfId="39" xr:uid="{00000000-0005-0000-0000-000067000000}"/>
    <cellStyle name="Heading 4 2" xfId="40" xr:uid="{00000000-0005-0000-0000-000068000000}"/>
    <cellStyle name="Hyperlink" xfId="3" builtinId="8"/>
    <cellStyle name="Hyperlink 2" xfId="253" xr:uid="{00000000-0005-0000-0000-00006A000000}"/>
    <cellStyle name="Inactive" xfId="254" xr:uid="{00000000-0005-0000-0000-00006B000000}"/>
    <cellStyle name="Inactive 2" xfId="309" xr:uid="{00000000-0005-0000-0000-00006C000000}"/>
    <cellStyle name="Input 2" xfId="41" xr:uid="{00000000-0005-0000-0000-00006D000000}"/>
    <cellStyle name="Input 2 10" xfId="310" xr:uid="{00000000-0005-0000-0000-00006E000000}"/>
    <cellStyle name="Input 2 2" xfId="70" xr:uid="{00000000-0005-0000-0000-00006F000000}"/>
    <cellStyle name="Input 2 2 2" xfId="163" xr:uid="{00000000-0005-0000-0000-000070000000}"/>
    <cellStyle name="Input 2 2 2 2" xfId="312" xr:uid="{00000000-0005-0000-0000-000071000000}"/>
    <cellStyle name="Input 2 2 3" xfId="311" xr:uid="{00000000-0005-0000-0000-000072000000}"/>
    <cellStyle name="Input 2 3" xfId="71" xr:uid="{00000000-0005-0000-0000-000073000000}"/>
    <cellStyle name="Input 2 3 2" xfId="164" xr:uid="{00000000-0005-0000-0000-000074000000}"/>
    <cellStyle name="Input 2 3 2 2" xfId="314" xr:uid="{00000000-0005-0000-0000-000075000000}"/>
    <cellStyle name="Input 2 3 3" xfId="313" xr:uid="{00000000-0005-0000-0000-000076000000}"/>
    <cellStyle name="Input 2 4" xfId="72" xr:uid="{00000000-0005-0000-0000-000077000000}"/>
    <cellStyle name="Input 2 4 2" xfId="165" xr:uid="{00000000-0005-0000-0000-000078000000}"/>
    <cellStyle name="Input 2 4 2 2" xfId="316" xr:uid="{00000000-0005-0000-0000-000079000000}"/>
    <cellStyle name="Input 2 4 3" xfId="315" xr:uid="{00000000-0005-0000-0000-00007A000000}"/>
    <cellStyle name="Input 2 5" xfId="73" xr:uid="{00000000-0005-0000-0000-00007B000000}"/>
    <cellStyle name="Input 2 5 2" xfId="166" xr:uid="{00000000-0005-0000-0000-00007C000000}"/>
    <cellStyle name="Input 2 5 2 2" xfId="318" xr:uid="{00000000-0005-0000-0000-00007D000000}"/>
    <cellStyle name="Input 2 5 3" xfId="317" xr:uid="{00000000-0005-0000-0000-00007E000000}"/>
    <cellStyle name="Input 2 6" xfId="74" xr:uid="{00000000-0005-0000-0000-00007F000000}"/>
    <cellStyle name="Input 2 6 2" xfId="167" xr:uid="{00000000-0005-0000-0000-000080000000}"/>
    <cellStyle name="Input 2 6 2 2" xfId="320" xr:uid="{00000000-0005-0000-0000-000081000000}"/>
    <cellStyle name="Input 2 6 3" xfId="319" xr:uid="{00000000-0005-0000-0000-000082000000}"/>
    <cellStyle name="Input 2 7" xfId="75" xr:uid="{00000000-0005-0000-0000-000083000000}"/>
    <cellStyle name="Input 2 7 2" xfId="168" xr:uid="{00000000-0005-0000-0000-000084000000}"/>
    <cellStyle name="Input 2 7 2 2" xfId="322" xr:uid="{00000000-0005-0000-0000-000085000000}"/>
    <cellStyle name="Input 2 7 3" xfId="321" xr:uid="{00000000-0005-0000-0000-000086000000}"/>
    <cellStyle name="Input 2 8" xfId="76" xr:uid="{00000000-0005-0000-0000-000087000000}"/>
    <cellStyle name="Input 2 8 2" xfId="169" xr:uid="{00000000-0005-0000-0000-000088000000}"/>
    <cellStyle name="Input 2 8 2 2" xfId="324" xr:uid="{00000000-0005-0000-0000-000089000000}"/>
    <cellStyle name="Input 2 8 3" xfId="323" xr:uid="{00000000-0005-0000-0000-00008A000000}"/>
    <cellStyle name="Input 2 9" xfId="147" xr:uid="{00000000-0005-0000-0000-00008B000000}"/>
    <cellStyle name="Input 2 9 2" xfId="325" xr:uid="{00000000-0005-0000-0000-00008C000000}"/>
    <cellStyle name="Linked Cell 2" xfId="42" xr:uid="{00000000-0005-0000-0000-00008D000000}"/>
    <cellStyle name="Neutral 2" xfId="43" xr:uid="{00000000-0005-0000-0000-00008E000000}"/>
    <cellStyle name="Normal" xfId="0" builtinId="0"/>
    <cellStyle name="Normal 10" xfId="255" xr:uid="{00000000-0005-0000-0000-000090000000}"/>
    <cellStyle name="Normal 10 2" xfId="326" xr:uid="{00000000-0005-0000-0000-000091000000}"/>
    <cellStyle name="Normal 11" xfId="275" xr:uid="{00000000-0005-0000-0000-000092000000}"/>
    <cellStyle name="Normal 11 2" xfId="327" xr:uid="{00000000-0005-0000-0000-000093000000}"/>
    <cellStyle name="Normal 12" xfId="277" xr:uid="{00000000-0005-0000-0000-000094000000}"/>
    <cellStyle name="Normal 16" xfId="256" xr:uid="{00000000-0005-0000-0000-000095000000}"/>
    <cellStyle name="Normal 2" xfId="5" xr:uid="{00000000-0005-0000-0000-000096000000}"/>
    <cellStyle name="Normal 2 2" xfId="56" xr:uid="{00000000-0005-0000-0000-000097000000}"/>
    <cellStyle name="Normal 2 2 2" xfId="127" xr:uid="{00000000-0005-0000-0000-000098000000}"/>
    <cellStyle name="Normal 2 2 2 2" xfId="219" xr:uid="{00000000-0005-0000-0000-000099000000}"/>
    <cellStyle name="Normal 2 2 2 2 2" xfId="330" xr:uid="{00000000-0005-0000-0000-00009A000000}"/>
    <cellStyle name="Normal 2 2 2 3" xfId="329" xr:uid="{00000000-0005-0000-0000-00009B000000}"/>
    <cellStyle name="Normal 2 2 3" xfId="155" xr:uid="{00000000-0005-0000-0000-00009C000000}"/>
    <cellStyle name="Normal 2 2 3 2" xfId="331" xr:uid="{00000000-0005-0000-0000-00009D000000}"/>
    <cellStyle name="Normal 2 2 4" xfId="257" xr:uid="{00000000-0005-0000-0000-00009E000000}"/>
    <cellStyle name="Normal 2 2 5" xfId="328" xr:uid="{00000000-0005-0000-0000-00009F000000}"/>
    <cellStyle name="Normal 2 3" xfId="122" xr:uid="{00000000-0005-0000-0000-0000A0000000}"/>
    <cellStyle name="Normal 2 3 2" xfId="214" xr:uid="{00000000-0005-0000-0000-0000A1000000}"/>
    <cellStyle name="Normal 2 3 2 2" xfId="333" xr:uid="{00000000-0005-0000-0000-0000A2000000}"/>
    <cellStyle name="Normal 2 3 3" xfId="332" xr:uid="{00000000-0005-0000-0000-0000A3000000}"/>
    <cellStyle name="Normal 2 4" xfId="144" xr:uid="{00000000-0005-0000-0000-0000A4000000}"/>
    <cellStyle name="Normal 2 4 2" xfId="334" xr:uid="{00000000-0005-0000-0000-0000A5000000}"/>
    <cellStyle name="Normal 2 5" xfId="258" xr:uid="{00000000-0005-0000-0000-0000A6000000}"/>
    <cellStyle name="Normal 2 5 2" xfId="335" xr:uid="{00000000-0005-0000-0000-0000A7000000}"/>
    <cellStyle name="Normal 2 6" xfId="259" xr:uid="{00000000-0005-0000-0000-0000A8000000}"/>
    <cellStyle name="Normal 2 6 2" xfId="336" xr:uid="{00000000-0005-0000-0000-0000A9000000}"/>
    <cellStyle name="Normal 2 7" xfId="279" xr:uid="{00000000-0005-0000-0000-0000AA000000}"/>
    <cellStyle name="Normal 3" xfId="44" xr:uid="{00000000-0005-0000-0000-0000AB000000}"/>
    <cellStyle name="Normal 3 2" xfId="260" xr:uid="{00000000-0005-0000-0000-0000AC000000}"/>
    <cellStyle name="Normal 3 2 2" xfId="261" xr:uid="{00000000-0005-0000-0000-0000AD000000}"/>
    <cellStyle name="Normal 3 2 2 2" xfId="338" xr:uid="{00000000-0005-0000-0000-0000AE000000}"/>
    <cellStyle name="Normal 3 2 3" xfId="262" xr:uid="{00000000-0005-0000-0000-0000AF000000}"/>
    <cellStyle name="Normal 3 2 3 2" xfId="339" xr:uid="{00000000-0005-0000-0000-0000B0000000}"/>
    <cellStyle name="Normal 3 2 4" xfId="337" xr:uid="{00000000-0005-0000-0000-0000B1000000}"/>
    <cellStyle name="Normal 4" xfId="45" xr:uid="{00000000-0005-0000-0000-0000B2000000}"/>
    <cellStyle name="Normal 4 2" xfId="263" xr:uid="{00000000-0005-0000-0000-0000B3000000}"/>
    <cellStyle name="Normal 5" xfId="55" xr:uid="{00000000-0005-0000-0000-0000B4000000}"/>
    <cellStyle name="Normal 5 2" xfId="57" xr:uid="{00000000-0005-0000-0000-0000B5000000}"/>
    <cellStyle name="Normal 5 3" xfId="126" xr:uid="{00000000-0005-0000-0000-0000B6000000}"/>
    <cellStyle name="Normal 5 3 2" xfId="218" xr:uid="{00000000-0005-0000-0000-0000B7000000}"/>
    <cellStyle name="Normal 5 3 2 2" xfId="342" xr:uid="{00000000-0005-0000-0000-0000B8000000}"/>
    <cellStyle name="Normal 5 3 3" xfId="341" xr:uid="{00000000-0005-0000-0000-0000B9000000}"/>
    <cellStyle name="Normal 5 4" xfId="154" xr:uid="{00000000-0005-0000-0000-0000BA000000}"/>
    <cellStyle name="Normal 5 4 2" xfId="343" xr:uid="{00000000-0005-0000-0000-0000BB000000}"/>
    <cellStyle name="Normal 5 5" xfId="340" xr:uid="{00000000-0005-0000-0000-0000BC000000}"/>
    <cellStyle name="Normal 6" xfId="264" xr:uid="{00000000-0005-0000-0000-0000BD000000}"/>
    <cellStyle name="Normal 6 2" xfId="344" xr:uid="{00000000-0005-0000-0000-0000BE000000}"/>
    <cellStyle name="Normal 7" xfId="236" xr:uid="{00000000-0005-0000-0000-0000BF000000}"/>
    <cellStyle name="Normal 8" xfId="265" xr:uid="{00000000-0005-0000-0000-0000C0000000}"/>
    <cellStyle name="Normal 8 2" xfId="266" xr:uid="{00000000-0005-0000-0000-0000C1000000}"/>
    <cellStyle name="Normal 8 2 2" xfId="346" xr:uid="{00000000-0005-0000-0000-0000C2000000}"/>
    <cellStyle name="Normal 8 3" xfId="267" xr:uid="{00000000-0005-0000-0000-0000C3000000}"/>
    <cellStyle name="Normal 8 3 2" xfId="347" xr:uid="{00000000-0005-0000-0000-0000C4000000}"/>
    <cellStyle name="Normal 8 4" xfId="345" xr:uid="{00000000-0005-0000-0000-0000C5000000}"/>
    <cellStyle name="Normal 9" xfId="268" xr:uid="{00000000-0005-0000-0000-0000C6000000}"/>
    <cellStyle name="Normal_Sheet1" xfId="237" xr:uid="{00000000-0005-0000-0000-0000C7000000}"/>
    <cellStyle name="Normal_Summary" xfId="269" xr:uid="{00000000-0005-0000-0000-0000C8000000}"/>
    <cellStyle name="Note 2" xfId="46" xr:uid="{00000000-0005-0000-0000-0000C9000000}"/>
    <cellStyle name="Note 2 10" xfId="348" xr:uid="{00000000-0005-0000-0000-0000CA000000}"/>
    <cellStyle name="Note 2 2" xfId="77" xr:uid="{00000000-0005-0000-0000-0000CB000000}"/>
    <cellStyle name="Note 2 2 2" xfId="170" xr:uid="{00000000-0005-0000-0000-0000CC000000}"/>
    <cellStyle name="Note 2 2 2 2" xfId="350" xr:uid="{00000000-0005-0000-0000-0000CD000000}"/>
    <cellStyle name="Note 2 2 3" xfId="349" xr:uid="{00000000-0005-0000-0000-0000CE000000}"/>
    <cellStyle name="Note 2 3" xfId="78" xr:uid="{00000000-0005-0000-0000-0000CF000000}"/>
    <cellStyle name="Note 2 3 2" xfId="171" xr:uid="{00000000-0005-0000-0000-0000D0000000}"/>
    <cellStyle name="Note 2 3 2 2" xfId="352" xr:uid="{00000000-0005-0000-0000-0000D1000000}"/>
    <cellStyle name="Note 2 3 3" xfId="351" xr:uid="{00000000-0005-0000-0000-0000D2000000}"/>
    <cellStyle name="Note 2 4" xfId="79" xr:uid="{00000000-0005-0000-0000-0000D3000000}"/>
    <cellStyle name="Note 2 4 2" xfId="172" xr:uid="{00000000-0005-0000-0000-0000D4000000}"/>
    <cellStyle name="Note 2 4 2 2" xfId="354" xr:uid="{00000000-0005-0000-0000-0000D5000000}"/>
    <cellStyle name="Note 2 4 3" xfId="353" xr:uid="{00000000-0005-0000-0000-0000D6000000}"/>
    <cellStyle name="Note 2 5" xfId="80" xr:uid="{00000000-0005-0000-0000-0000D7000000}"/>
    <cellStyle name="Note 2 5 2" xfId="173" xr:uid="{00000000-0005-0000-0000-0000D8000000}"/>
    <cellStyle name="Note 2 5 2 2" xfId="356" xr:uid="{00000000-0005-0000-0000-0000D9000000}"/>
    <cellStyle name="Note 2 5 3" xfId="355" xr:uid="{00000000-0005-0000-0000-0000DA000000}"/>
    <cellStyle name="Note 2 6" xfId="81" xr:uid="{00000000-0005-0000-0000-0000DB000000}"/>
    <cellStyle name="Note 2 6 2" xfId="174" xr:uid="{00000000-0005-0000-0000-0000DC000000}"/>
    <cellStyle name="Note 2 6 2 2" xfId="358" xr:uid="{00000000-0005-0000-0000-0000DD000000}"/>
    <cellStyle name="Note 2 6 3" xfId="357" xr:uid="{00000000-0005-0000-0000-0000DE000000}"/>
    <cellStyle name="Note 2 7" xfId="82" xr:uid="{00000000-0005-0000-0000-0000DF000000}"/>
    <cellStyle name="Note 2 7 2" xfId="175" xr:uid="{00000000-0005-0000-0000-0000E0000000}"/>
    <cellStyle name="Note 2 7 2 2" xfId="360" xr:uid="{00000000-0005-0000-0000-0000E1000000}"/>
    <cellStyle name="Note 2 7 3" xfId="359" xr:uid="{00000000-0005-0000-0000-0000E2000000}"/>
    <cellStyle name="Note 2 8" xfId="83" xr:uid="{00000000-0005-0000-0000-0000E3000000}"/>
    <cellStyle name="Note 2 8 2" xfId="176" xr:uid="{00000000-0005-0000-0000-0000E4000000}"/>
    <cellStyle name="Note 2 8 2 2" xfId="362" xr:uid="{00000000-0005-0000-0000-0000E5000000}"/>
    <cellStyle name="Note 2 8 3" xfId="361" xr:uid="{00000000-0005-0000-0000-0000E6000000}"/>
    <cellStyle name="Note 2 9" xfId="148" xr:uid="{00000000-0005-0000-0000-0000E7000000}"/>
    <cellStyle name="Note 2 9 2" xfId="363" xr:uid="{00000000-0005-0000-0000-0000E8000000}"/>
    <cellStyle name="Note 3" xfId="47" xr:uid="{00000000-0005-0000-0000-0000E9000000}"/>
    <cellStyle name="Note 3 10" xfId="364" xr:uid="{00000000-0005-0000-0000-0000EA000000}"/>
    <cellStyle name="Note 3 2" xfId="84" xr:uid="{00000000-0005-0000-0000-0000EB000000}"/>
    <cellStyle name="Note 3 2 2" xfId="177" xr:uid="{00000000-0005-0000-0000-0000EC000000}"/>
    <cellStyle name="Note 3 2 2 2" xfId="366" xr:uid="{00000000-0005-0000-0000-0000ED000000}"/>
    <cellStyle name="Note 3 2 3" xfId="365" xr:uid="{00000000-0005-0000-0000-0000EE000000}"/>
    <cellStyle name="Note 3 3" xfId="85" xr:uid="{00000000-0005-0000-0000-0000EF000000}"/>
    <cellStyle name="Note 3 3 2" xfId="178" xr:uid="{00000000-0005-0000-0000-0000F0000000}"/>
    <cellStyle name="Note 3 3 2 2" xfId="368" xr:uid="{00000000-0005-0000-0000-0000F1000000}"/>
    <cellStyle name="Note 3 3 3" xfId="367" xr:uid="{00000000-0005-0000-0000-0000F2000000}"/>
    <cellStyle name="Note 3 4" xfId="86" xr:uid="{00000000-0005-0000-0000-0000F3000000}"/>
    <cellStyle name="Note 3 4 2" xfId="179" xr:uid="{00000000-0005-0000-0000-0000F4000000}"/>
    <cellStyle name="Note 3 4 2 2" xfId="370" xr:uid="{00000000-0005-0000-0000-0000F5000000}"/>
    <cellStyle name="Note 3 4 3" xfId="369" xr:uid="{00000000-0005-0000-0000-0000F6000000}"/>
    <cellStyle name="Note 3 5" xfId="87" xr:uid="{00000000-0005-0000-0000-0000F7000000}"/>
    <cellStyle name="Note 3 5 2" xfId="180" xr:uid="{00000000-0005-0000-0000-0000F8000000}"/>
    <cellStyle name="Note 3 5 2 2" xfId="372" xr:uid="{00000000-0005-0000-0000-0000F9000000}"/>
    <cellStyle name="Note 3 5 3" xfId="371" xr:uid="{00000000-0005-0000-0000-0000FA000000}"/>
    <cellStyle name="Note 3 6" xfId="88" xr:uid="{00000000-0005-0000-0000-0000FB000000}"/>
    <cellStyle name="Note 3 6 2" xfId="181" xr:uid="{00000000-0005-0000-0000-0000FC000000}"/>
    <cellStyle name="Note 3 6 2 2" xfId="374" xr:uid="{00000000-0005-0000-0000-0000FD000000}"/>
    <cellStyle name="Note 3 6 3" xfId="373" xr:uid="{00000000-0005-0000-0000-0000FE000000}"/>
    <cellStyle name="Note 3 7" xfId="89" xr:uid="{00000000-0005-0000-0000-0000FF000000}"/>
    <cellStyle name="Note 3 7 2" xfId="182" xr:uid="{00000000-0005-0000-0000-000000010000}"/>
    <cellStyle name="Note 3 7 2 2" xfId="376" xr:uid="{00000000-0005-0000-0000-000001010000}"/>
    <cellStyle name="Note 3 7 3" xfId="375" xr:uid="{00000000-0005-0000-0000-000002010000}"/>
    <cellStyle name="Note 3 8" xfId="90" xr:uid="{00000000-0005-0000-0000-000003010000}"/>
    <cellStyle name="Note 3 8 2" xfId="183" xr:uid="{00000000-0005-0000-0000-000004010000}"/>
    <cellStyle name="Note 3 8 2 2" xfId="378" xr:uid="{00000000-0005-0000-0000-000005010000}"/>
    <cellStyle name="Note 3 8 3" xfId="377" xr:uid="{00000000-0005-0000-0000-000006010000}"/>
    <cellStyle name="Note 3 9" xfId="149" xr:uid="{00000000-0005-0000-0000-000007010000}"/>
    <cellStyle name="Note 3 9 2" xfId="379" xr:uid="{00000000-0005-0000-0000-000008010000}"/>
    <cellStyle name="Note 4" xfId="48" xr:uid="{00000000-0005-0000-0000-000009010000}"/>
    <cellStyle name="Note 4 10" xfId="380" xr:uid="{00000000-0005-0000-0000-00000A010000}"/>
    <cellStyle name="Note 4 2" xfId="91" xr:uid="{00000000-0005-0000-0000-00000B010000}"/>
    <cellStyle name="Note 4 2 2" xfId="184" xr:uid="{00000000-0005-0000-0000-00000C010000}"/>
    <cellStyle name="Note 4 2 2 2" xfId="382" xr:uid="{00000000-0005-0000-0000-00000D010000}"/>
    <cellStyle name="Note 4 2 3" xfId="381" xr:uid="{00000000-0005-0000-0000-00000E010000}"/>
    <cellStyle name="Note 4 3" xfId="92" xr:uid="{00000000-0005-0000-0000-00000F010000}"/>
    <cellStyle name="Note 4 3 2" xfId="185" xr:uid="{00000000-0005-0000-0000-000010010000}"/>
    <cellStyle name="Note 4 3 2 2" xfId="384" xr:uid="{00000000-0005-0000-0000-000011010000}"/>
    <cellStyle name="Note 4 3 3" xfId="383" xr:uid="{00000000-0005-0000-0000-000012010000}"/>
    <cellStyle name="Note 4 4" xfId="93" xr:uid="{00000000-0005-0000-0000-000013010000}"/>
    <cellStyle name="Note 4 4 2" xfId="186" xr:uid="{00000000-0005-0000-0000-000014010000}"/>
    <cellStyle name="Note 4 4 2 2" xfId="386" xr:uid="{00000000-0005-0000-0000-000015010000}"/>
    <cellStyle name="Note 4 4 3" xfId="385" xr:uid="{00000000-0005-0000-0000-000016010000}"/>
    <cellStyle name="Note 4 5" xfId="94" xr:uid="{00000000-0005-0000-0000-000017010000}"/>
    <cellStyle name="Note 4 5 2" xfId="187" xr:uid="{00000000-0005-0000-0000-000018010000}"/>
    <cellStyle name="Note 4 5 2 2" xfId="388" xr:uid="{00000000-0005-0000-0000-000019010000}"/>
    <cellStyle name="Note 4 5 3" xfId="387" xr:uid="{00000000-0005-0000-0000-00001A010000}"/>
    <cellStyle name="Note 4 6" xfId="95" xr:uid="{00000000-0005-0000-0000-00001B010000}"/>
    <cellStyle name="Note 4 6 2" xfId="188" xr:uid="{00000000-0005-0000-0000-00001C010000}"/>
    <cellStyle name="Note 4 6 2 2" xfId="390" xr:uid="{00000000-0005-0000-0000-00001D010000}"/>
    <cellStyle name="Note 4 6 3" xfId="389" xr:uid="{00000000-0005-0000-0000-00001E010000}"/>
    <cellStyle name="Note 4 7" xfId="96" xr:uid="{00000000-0005-0000-0000-00001F010000}"/>
    <cellStyle name="Note 4 7 2" xfId="189" xr:uid="{00000000-0005-0000-0000-000020010000}"/>
    <cellStyle name="Note 4 7 2 2" xfId="392" xr:uid="{00000000-0005-0000-0000-000021010000}"/>
    <cellStyle name="Note 4 7 3" xfId="391" xr:uid="{00000000-0005-0000-0000-000022010000}"/>
    <cellStyle name="Note 4 8" xfId="97" xr:uid="{00000000-0005-0000-0000-000023010000}"/>
    <cellStyle name="Note 4 8 2" xfId="190" xr:uid="{00000000-0005-0000-0000-000024010000}"/>
    <cellStyle name="Note 4 8 2 2" xfId="394" xr:uid="{00000000-0005-0000-0000-000025010000}"/>
    <cellStyle name="Note 4 8 3" xfId="393" xr:uid="{00000000-0005-0000-0000-000026010000}"/>
    <cellStyle name="Note 4 9" xfId="150" xr:uid="{00000000-0005-0000-0000-000027010000}"/>
    <cellStyle name="Note 4 9 2" xfId="395" xr:uid="{00000000-0005-0000-0000-000028010000}"/>
    <cellStyle name="Note 5" xfId="49" xr:uid="{00000000-0005-0000-0000-000029010000}"/>
    <cellStyle name="Note 5 10" xfId="396" xr:uid="{00000000-0005-0000-0000-00002A010000}"/>
    <cellStyle name="Note 5 2" xfId="98" xr:uid="{00000000-0005-0000-0000-00002B010000}"/>
    <cellStyle name="Note 5 2 2" xfId="191" xr:uid="{00000000-0005-0000-0000-00002C010000}"/>
    <cellStyle name="Note 5 2 2 2" xfId="398" xr:uid="{00000000-0005-0000-0000-00002D010000}"/>
    <cellStyle name="Note 5 2 3" xfId="397" xr:uid="{00000000-0005-0000-0000-00002E010000}"/>
    <cellStyle name="Note 5 3" xfId="99" xr:uid="{00000000-0005-0000-0000-00002F010000}"/>
    <cellStyle name="Note 5 3 2" xfId="192" xr:uid="{00000000-0005-0000-0000-000030010000}"/>
    <cellStyle name="Note 5 3 2 2" xfId="400" xr:uid="{00000000-0005-0000-0000-000031010000}"/>
    <cellStyle name="Note 5 3 3" xfId="399" xr:uid="{00000000-0005-0000-0000-000032010000}"/>
    <cellStyle name="Note 5 4" xfId="100" xr:uid="{00000000-0005-0000-0000-000033010000}"/>
    <cellStyle name="Note 5 4 2" xfId="193" xr:uid="{00000000-0005-0000-0000-000034010000}"/>
    <cellStyle name="Note 5 4 2 2" xfId="402" xr:uid="{00000000-0005-0000-0000-000035010000}"/>
    <cellStyle name="Note 5 4 3" xfId="401" xr:uid="{00000000-0005-0000-0000-000036010000}"/>
    <cellStyle name="Note 5 5" xfId="101" xr:uid="{00000000-0005-0000-0000-000037010000}"/>
    <cellStyle name="Note 5 5 2" xfId="194" xr:uid="{00000000-0005-0000-0000-000038010000}"/>
    <cellStyle name="Note 5 5 2 2" xfId="404" xr:uid="{00000000-0005-0000-0000-000039010000}"/>
    <cellStyle name="Note 5 5 3" xfId="403" xr:uid="{00000000-0005-0000-0000-00003A010000}"/>
    <cellStyle name="Note 5 6" xfId="102" xr:uid="{00000000-0005-0000-0000-00003B010000}"/>
    <cellStyle name="Note 5 6 2" xfId="195" xr:uid="{00000000-0005-0000-0000-00003C010000}"/>
    <cellStyle name="Note 5 6 2 2" xfId="406" xr:uid="{00000000-0005-0000-0000-00003D010000}"/>
    <cellStyle name="Note 5 6 3" xfId="405" xr:uid="{00000000-0005-0000-0000-00003E010000}"/>
    <cellStyle name="Note 5 7" xfId="103" xr:uid="{00000000-0005-0000-0000-00003F010000}"/>
    <cellStyle name="Note 5 7 2" xfId="196" xr:uid="{00000000-0005-0000-0000-000040010000}"/>
    <cellStyle name="Note 5 7 2 2" xfId="408" xr:uid="{00000000-0005-0000-0000-000041010000}"/>
    <cellStyle name="Note 5 7 3" xfId="407" xr:uid="{00000000-0005-0000-0000-000042010000}"/>
    <cellStyle name="Note 5 8" xfId="104" xr:uid="{00000000-0005-0000-0000-000043010000}"/>
    <cellStyle name="Note 5 8 2" xfId="197" xr:uid="{00000000-0005-0000-0000-000044010000}"/>
    <cellStyle name="Note 5 8 2 2" xfId="410" xr:uid="{00000000-0005-0000-0000-000045010000}"/>
    <cellStyle name="Note 5 8 3" xfId="409" xr:uid="{00000000-0005-0000-0000-000046010000}"/>
    <cellStyle name="Note 5 9" xfId="151" xr:uid="{00000000-0005-0000-0000-000047010000}"/>
    <cellStyle name="Note 5 9 2" xfId="411" xr:uid="{00000000-0005-0000-0000-000048010000}"/>
    <cellStyle name="Note 6" xfId="270" xr:uid="{00000000-0005-0000-0000-000049010000}"/>
    <cellStyle name="Note 6 2" xfId="412" xr:uid="{00000000-0005-0000-0000-00004A010000}"/>
    <cellStyle name="Output 2" xfId="50" xr:uid="{00000000-0005-0000-0000-00004B010000}"/>
    <cellStyle name="Output 2 10" xfId="124" xr:uid="{00000000-0005-0000-0000-00004C010000}"/>
    <cellStyle name="Output 2 10 2" xfId="216" xr:uid="{00000000-0005-0000-0000-00004D010000}"/>
    <cellStyle name="Output 2 10 2 2" xfId="415" xr:uid="{00000000-0005-0000-0000-00004E010000}"/>
    <cellStyle name="Output 2 10 3" xfId="414" xr:uid="{00000000-0005-0000-0000-00004F010000}"/>
    <cellStyle name="Output 2 11" xfId="152" xr:uid="{00000000-0005-0000-0000-000050010000}"/>
    <cellStyle name="Output 2 11 2" xfId="416" xr:uid="{00000000-0005-0000-0000-000051010000}"/>
    <cellStyle name="Output 2 12" xfId="413" xr:uid="{00000000-0005-0000-0000-000052010000}"/>
    <cellStyle name="Output 2 2" xfId="105" xr:uid="{00000000-0005-0000-0000-000053010000}"/>
    <cellStyle name="Output 2 2 2" xfId="128" xr:uid="{00000000-0005-0000-0000-000054010000}"/>
    <cellStyle name="Output 2 2 2 2" xfId="220" xr:uid="{00000000-0005-0000-0000-000055010000}"/>
    <cellStyle name="Output 2 2 2 2 2" xfId="419" xr:uid="{00000000-0005-0000-0000-000056010000}"/>
    <cellStyle name="Output 2 2 2 3" xfId="418" xr:uid="{00000000-0005-0000-0000-000057010000}"/>
    <cellStyle name="Output 2 2 3" xfId="198" xr:uid="{00000000-0005-0000-0000-000058010000}"/>
    <cellStyle name="Output 2 2 3 2" xfId="420" xr:uid="{00000000-0005-0000-0000-000059010000}"/>
    <cellStyle name="Output 2 2 4" xfId="417" xr:uid="{00000000-0005-0000-0000-00005A010000}"/>
    <cellStyle name="Output 2 3" xfId="106" xr:uid="{00000000-0005-0000-0000-00005B010000}"/>
    <cellStyle name="Output 2 3 2" xfId="129" xr:uid="{00000000-0005-0000-0000-00005C010000}"/>
    <cellStyle name="Output 2 3 2 2" xfId="221" xr:uid="{00000000-0005-0000-0000-00005D010000}"/>
    <cellStyle name="Output 2 3 2 2 2" xfId="423" xr:uid="{00000000-0005-0000-0000-00005E010000}"/>
    <cellStyle name="Output 2 3 2 3" xfId="422" xr:uid="{00000000-0005-0000-0000-00005F010000}"/>
    <cellStyle name="Output 2 3 3" xfId="199" xr:uid="{00000000-0005-0000-0000-000060010000}"/>
    <cellStyle name="Output 2 3 3 2" xfId="424" xr:uid="{00000000-0005-0000-0000-000061010000}"/>
    <cellStyle name="Output 2 3 4" xfId="421" xr:uid="{00000000-0005-0000-0000-000062010000}"/>
    <cellStyle name="Output 2 4" xfId="107" xr:uid="{00000000-0005-0000-0000-000063010000}"/>
    <cellStyle name="Output 2 4 2" xfId="130" xr:uid="{00000000-0005-0000-0000-000064010000}"/>
    <cellStyle name="Output 2 4 2 2" xfId="222" xr:uid="{00000000-0005-0000-0000-000065010000}"/>
    <cellStyle name="Output 2 4 2 2 2" xfId="427" xr:uid="{00000000-0005-0000-0000-000066010000}"/>
    <cellStyle name="Output 2 4 2 3" xfId="426" xr:uid="{00000000-0005-0000-0000-000067010000}"/>
    <cellStyle name="Output 2 4 3" xfId="200" xr:uid="{00000000-0005-0000-0000-000068010000}"/>
    <cellStyle name="Output 2 4 3 2" xfId="428" xr:uid="{00000000-0005-0000-0000-000069010000}"/>
    <cellStyle name="Output 2 4 4" xfId="425" xr:uid="{00000000-0005-0000-0000-00006A010000}"/>
    <cellStyle name="Output 2 5" xfId="108" xr:uid="{00000000-0005-0000-0000-00006B010000}"/>
    <cellStyle name="Output 2 5 2" xfId="131" xr:uid="{00000000-0005-0000-0000-00006C010000}"/>
    <cellStyle name="Output 2 5 2 2" xfId="223" xr:uid="{00000000-0005-0000-0000-00006D010000}"/>
    <cellStyle name="Output 2 5 2 2 2" xfId="431" xr:uid="{00000000-0005-0000-0000-00006E010000}"/>
    <cellStyle name="Output 2 5 2 3" xfId="430" xr:uid="{00000000-0005-0000-0000-00006F010000}"/>
    <cellStyle name="Output 2 5 3" xfId="201" xr:uid="{00000000-0005-0000-0000-000070010000}"/>
    <cellStyle name="Output 2 5 3 2" xfId="432" xr:uid="{00000000-0005-0000-0000-000071010000}"/>
    <cellStyle name="Output 2 5 4" xfId="429" xr:uid="{00000000-0005-0000-0000-000072010000}"/>
    <cellStyle name="Output 2 6" xfId="109" xr:uid="{00000000-0005-0000-0000-000073010000}"/>
    <cellStyle name="Output 2 6 2" xfId="132" xr:uid="{00000000-0005-0000-0000-000074010000}"/>
    <cellStyle name="Output 2 6 2 2" xfId="224" xr:uid="{00000000-0005-0000-0000-000075010000}"/>
    <cellStyle name="Output 2 6 2 2 2" xfId="435" xr:uid="{00000000-0005-0000-0000-000076010000}"/>
    <cellStyle name="Output 2 6 2 3" xfId="434" xr:uid="{00000000-0005-0000-0000-000077010000}"/>
    <cellStyle name="Output 2 6 3" xfId="202" xr:uid="{00000000-0005-0000-0000-000078010000}"/>
    <cellStyle name="Output 2 6 3 2" xfId="436" xr:uid="{00000000-0005-0000-0000-000079010000}"/>
    <cellStyle name="Output 2 6 4" xfId="433" xr:uid="{00000000-0005-0000-0000-00007A010000}"/>
    <cellStyle name="Output 2 7" xfId="110" xr:uid="{00000000-0005-0000-0000-00007B010000}"/>
    <cellStyle name="Output 2 7 2" xfId="133" xr:uid="{00000000-0005-0000-0000-00007C010000}"/>
    <cellStyle name="Output 2 7 2 2" xfId="225" xr:uid="{00000000-0005-0000-0000-00007D010000}"/>
    <cellStyle name="Output 2 7 2 2 2" xfId="439" xr:uid="{00000000-0005-0000-0000-00007E010000}"/>
    <cellStyle name="Output 2 7 2 3" xfId="438" xr:uid="{00000000-0005-0000-0000-00007F010000}"/>
    <cellStyle name="Output 2 7 3" xfId="203" xr:uid="{00000000-0005-0000-0000-000080010000}"/>
    <cellStyle name="Output 2 7 3 2" xfId="440" xr:uid="{00000000-0005-0000-0000-000081010000}"/>
    <cellStyle name="Output 2 7 4" xfId="437" xr:uid="{00000000-0005-0000-0000-000082010000}"/>
    <cellStyle name="Output 2 8" xfId="111" xr:uid="{00000000-0005-0000-0000-000083010000}"/>
    <cellStyle name="Output 2 8 2" xfId="134" xr:uid="{00000000-0005-0000-0000-000084010000}"/>
    <cellStyle name="Output 2 8 2 2" xfId="226" xr:uid="{00000000-0005-0000-0000-000085010000}"/>
    <cellStyle name="Output 2 8 2 2 2" xfId="443" xr:uid="{00000000-0005-0000-0000-000086010000}"/>
    <cellStyle name="Output 2 8 2 3" xfId="442" xr:uid="{00000000-0005-0000-0000-000087010000}"/>
    <cellStyle name="Output 2 8 3" xfId="204" xr:uid="{00000000-0005-0000-0000-000088010000}"/>
    <cellStyle name="Output 2 8 3 2" xfId="444" xr:uid="{00000000-0005-0000-0000-000089010000}"/>
    <cellStyle name="Output 2 8 4" xfId="441" xr:uid="{00000000-0005-0000-0000-00008A010000}"/>
    <cellStyle name="Output 2 9" xfId="112" xr:uid="{00000000-0005-0000-0000-00008B010000}"/>
    <cellStyle name="Output 2 9 2" xfId="135" xr:uid="{00000000-0005-0000-0000-00008C010000}"/>
    <cellStyle name="Output 2 9 2 2" xfId="227" xr:uid="{00000000-0005-0000-0000-00008D010000}"/>
    <cellStyle name="Output 2 9 2 2 2" xfId="447" xr:uid="{00000000-0005-0000-0000-00008E010000}"/>
    <cellStyle name="Output 2 9 2 3" xfId="446" xr:uid="{00000000-0005-0000-0000-00008F010000}"/>
    <cellStyle name="Output 2 9 3" xfId="205" xr:uid="{00000000-0005-0000-0000-000090010000}"/>
    <cellStyle name="Output 2 9 3 2" xfId="448" xr:uid="{00000000-0005-0000-0000-000091010000}"/>
    <cellStyle name="Output 2 9 4" xfId="445" xr:uid="{00000000-0005-0000-0000-000092010000}"/>
    <cellStyle name="Percent" xfId="54" builtinId="5"/>
    <cellStyle name="Percent 2" xfId="113" xr:uid="{00000000-0005-0000-0000-000094010000}"/>
    <cellStyle name="Percent 2 2" xfId="271" xr:uid="{00000000-0005-0000-0000-000095010000}"/>
    <cellStyle name="Percent 2 2 2" xfId="272" xr:uid="{00000000-0005-0000-0000-000096010000}"/>
    <cellStyle name="Percent 2 2 2 2" xfId="450" xr:uid="{00000000-0005-0000-0000-000097010000}"/>
    <cellStyle name="Percent 2 2 3" xfId="273" xr:uid="{00000000-0005-0000-0000-000098010000}"/>
    <cellStyle name="Percent 2 2 3 2" xfId="451" xr:uid="{00000000-0005-0000-0000-000099010000}"/>
    <cellStyle name="Percent 2 2 4" xfId="449" xr:uid="{00000000-0005-0000-0000-00009A010000}"/>
    <cellStyle name="Percent 3" xfId="238" xr:uid="{00000000-0005-0000-0000-00009B010000}"/>
    <cellStyle name="Percent 4" xfId="274" xr:uid="{00000000-0005-0000-0000-00009C010000}"/>
    <cellStyle name="Percent 5" xfId="278" xr:uid="{00000000-0005-0000-0000-00009D010000}"/>
    <cellStyle name="Title 2" xfId="51" xr:uid="{00000000-0005-0000-0000-00009E010000}"/>
    <cellStyle name="Total 2" xfId="52" xr:uid="{00000000-0005-0000-0000-00009F010000}"/>
    <cellStyle name="Total 2 10" xfId="125" xr:uid="{00000000-0005-0000-0000-0000A0010000}"/>
    <cellStyle name="Total 2 10 2" xfId="217" xr:uid="{00000000-0005-0000-0000-0000A1010000}"/>
    <cellStyle name="Total 2 10 2 2" xfId="454" xr:uid="{00000000-0005-0000-0000-0000A2010000}"/>
    <cellStyle name="Total 2 10 3" xfId="453" xr:uid="{00000000-0005-0000-0000-0000A3010000}"/>
    <cellStyle name="Total 2 11" xfId="153" xr:uid="{00000000-0005-0000-0000-0000A4010000}"/>
    <cellStyle name="Total 2 11 2" xfId="455" xr:uid="{00000000-0005-0000-0000-0000A5010000}"/>
    <cellStyle name="Total 2 12" xfId="452" xr:uid="{00000000-0005-0000-0000-0000A6010000}"/>
    <cellStyle name="Total 2 2" xfId="114" xr:uid="{00000000-0005-0000-0000-0000A7010000}"/>
    <cellStyle name="Total 2 2 2" xfId="136" xr:uid="{00000000-0005-0000-0000-0000A8010000}"/>
    <cellStyle name="Total 2 2 2 2" xfId="228" xr:uid="{00000000-0005-0000-0000-0000A9010000}"/>
    <cellStyle name="Total 2 2 2 2 2" xfId="458" xr:uid="{00000000-0005-0000-0000-0000AA010000}"/>
    <cellStyle name="Total 2 2 2 3" xfId="457" xr:uid="{00000000-0005-0000-0000-0000AB010000}"/>
    <cellStyle name="Total 2 2 3" xfId="206" xr:uid="{00000000-0005-0000-0000-0000AC010000}"/>
    <cellStyle name="Total 2 2 3 2" xfId="459" xr:uid="{00000000-0005-0000-0000-0000AD010000}"/>
    <cellStyle name="Total 2 2 4" xfId="456" xr:uid="{00000000-0005-0000-0000-0000AE010000}"/>
    <cellStyle name="Total 2 3" xfId="115" xr:uid="{00000000-0005-0000-0000-0000AF010000}"/>
    <cellStyle name="Total 2 3 2" xfId="137" xr:uid="{00000000-0005-0000-0000-0000B0010000}"/>
    <cellStyle name="Total 2 3 2 2" xfId="229" xr:uid="{00000000-0005-0000-0000-0000B1010000}"/>
    <cellStyle name="Total 2 3 2 2 2" xfId="462" xr:uid="{00000000-0005-0000-0000-0000B2010000}"/>
    <cellStyle name="Total 2 3 2 3" xfId="461" xr:uid="{00000000-0005-0000-0000-0000B3010000}"/>
    <cellStyle name="Total 2 3 3" xfId="207" xr:uid="{00000000-0005-0000-0000-0000B4010000}"/>
    <cellStyle name="Total 2 3 3 2" xfId="463" xr:uid="{00000000-0005-0000-0000-0000B5010000}"/>
    <cellStyle name="Total 2 3 4" xfId="460" xr:uid="{00000000-0005-0000-0000-0000B6010000}"/>
    <cellStyle name="Total 2 4" xfId="116" xr:uid="{00000000-0005-0000-0000-0000B7010000}"/>
    <cellStyle name="Total 2 4 2" xfId="138" xr:uid="{00000000-0005-0000-0000-0000B8010000}"/>
    <cellStyle name="Total 2 4 2 2" xfId="230" xr:uid="{00000000-0005-0000-0000-0000B9010000}"/>
    <cellStyle name="Total 2 4 2 2 2" xfId="466" xr:uid="{00000000-0005-0000-0000-0000BA010000}"/>
    <cellStyle name="Total 2 4 2 3" xfId="465" xr:uid="{00000000-0005-0000-0000-0000BB010000}"/>
    <cellStyle name="Total 2 4 3" xfId="208" xr:uid="{00000000-0005-0000-0000-0000BC010000}"/>
    <cellStyle name="Total 2 4 3 2" xfId="467" xr:uid="{00000000-0005-0000-0000-0000BD010000}"/>
    <cellStyle name="Total 2 4 4" xfId="464" xr:uid="{00000000-0005-0000-0000-0000BE010000}"/>
    <cellStyle name="Total 2 5" xfId="117" xr:uid="{00000000-0005-0000-0000-0000BF010000}"/>
    <cellStyle name="Total 2 5 2" xfId="139" xr:uid="{00000000-0005-0000-0000-0000C0010000}"/>
    <cellStyle name="Total 2 5 2 2" xfId="231" xr:uid="{00000000-0005-0000-0000-0000C1010000}"/>
    <cellStyle name="Total 2 5 2 2 2" xfId="470" xr:uid="{00000000-0005-0000-0000-0000C2010000}"/>
    <cellStyle name="Total 2 5 2 3" xfId="469" xr:uid="{00000000-0005-0000-0000-0000C3010000}"/>
    <cellStyle name="Total 2 5 3" xfId="209" xr:uid="{00000000-0005-0000-0000-0000C4010000}"/>
    <cellStyle name="Total 2 5 3 2" xfId="471" xr:uid="{00000000-0005-0000-0000-0000C5010000}"/>
    <cellStyle name="Total 2 5 4" xfId="468" xr:uid="{00000000-0005-0000-0000-0000C6010000}"/>
    <cellStyle name="Total 2 6" xfId="118" xr:uid="{00000000-0005-0000-0000-0000C7010000}"/>
    <cellStyle name="Total 2 6 2" xfId="140" xr:uid="{00000000-0005-0000-0000-0000C8010000}"/>
    <cellStyle name="Total 2 6 2 2" xfId="232" xr:uid="{00000000-0005-0000-0000-0000C9010000}"/>
    <cellStyle name="Total 2 6 2 2 2" xfId="474" xr:uid="{00000000-0005-0000-0000-0000CA010000}"/>
    <cellStyle name="Total 2 6 2 3" xfId="473" xr:uid="{00000000-0005-0000-0000-0000CB010000}"/>
    <cellStyle name="Total 2 6 3" xfId="210" xr:uid="{00000000-0005-0000-0000-0000CC010000}"/>
    <cellStyle name="Total 2 6 3 2" xfId="475" xr:uid="{00000000-0005-0000-0000-0000CD010000}"/>
    <cellStyle name="Total 2 6 4" xfId="472" xr:uid="{00000000-0005-0000-0000-0000CE010000}"/>
    <cellStyle name="Total 2 7" xfId="119" xr:uid="{00000000-0005-0000-0000-0000CF010000}"/>
    <cellStyle name="Total 2 7 2" xfId="141" xr:uid="{00000000-0005-0000-0000-0000D0010000}"/>
    <cellStyle name="Total 2 7 2 2" xfId="233" xr:uid="{00000000-0005-0000-0000-0000D1010000}"/>
    <cellStyle name="Total 2 7 2 2 2" xfId="478" xr:uid="{00000000-0005-0000-0000-0000D2010000}"/>
    <cellStyle name="Total 2 7 2 3" xfId="477" xr:uid="{00000000-0005-0000-0000-0000D3010000}"/>
    <cellStyle name="Total 2 7 3" xfId="211" xr:uid="{00000000-0005-0000-0000-0000D4010000}"/>
    <cellStyle name="Total 2 7 3 2" xfId="479" xr:uid="{00000000-0005-0000-0000-0000D5010000}"/>
    <cellStyle name="Total 2 7 4" xfId="476" xr:uid="{00000000-0005-0000-0000-0000D6010000}"/>
    <cellStyle name="Total 2 8" xfId="120" xr:uid="{00000000-0005-0000-0000-0000D7010000}"/>
    <cellStyle name="Total 2 8 2" xfId="142" xr:uid="{00000000-0005-0000-0000-0000D8010000}"/>
    <cellStyle name="Total 2 8 2 2" xfId="234" xr:uid="{00000000-0005-0000-0000-0000D9010000}"/>
    <cellStyle name="Total 2 8 2 2 2" xfId="482" xr:uid="{00000000-0005-0000-0000-0000DA010000}"/>
    <cellStyle name="Total 2 8 2 3" xfId="481" xr:uid="{00000000-0005-0000-0000-0000DB010000}"/>
    <cellStyle name="Total 2 8 3" xfId="212" xr:uid="{00000000-0005-0000-0000-0000DC010000}"/>
    <cellStyle name="Total 2 8 3 2" xfId="483" xr:uid="{00000000-0005-0000-0000-0000DD010000}"/>
    <cellStyle name="Total 2 8 4" xfId="480" xr:uid="{00000000-0005-0000-0000-0000DE010000}"/>
    <cellStyle name="Total 2 9" xfId="121" xr:uid="{00000000-0005-0000-0000-0000DF010000}"/>
    <cellStyle name="Total 2 9 2" xfId="143" xr:uid="{00000000-0005-0000-0000-0000E0010000}"/>
    <cellStyle name="Total 2 9 2 2" xfId="235" xr:uid="{00000000-0005-0000-0000-0000E1010000}"/>
    <cellStyle name="Total 2 9 2 2 2" xfId="486" xr:uid="{00000000-0005-0000-0000-0000E2010000}"/>
    <cellStyle name="Total 2 9 2 3" xfId="485" xr:uid="{00000000-0005-0000-0000-0000E3010000}"/>
    <cellStyle name="Total 2 9 3" xfId="213" xr:uid="{00000000-0005-0000-0000-0000E4010000}"/>
    <cellStyle name="Total 2 9 3 2" xfId="487" xr:uid="{00000000-0005-0000-0000-0000E5010000}"/>
    <cellStyle name="Total 2 9 4" xfId="484" xr:uid="{00000000-0005-0000-0000-0000E6010000}"/>
    <cellStyle name="Warning Text 2" xfId="53" xr:uid="{00000000-0005-0000-0000-0000E7010000}"/>
  </cellStyles>
  <dxfs count="73">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dxf>
    <dxf>
      <numFmt numFmtId="2" formatCode="0.00"/>
      <alignment horizontal="center" vertical="bottom" textRotation="0" wrapText="0" indent="0" justifyLastLine="0" shrinkToFit="0" readingOrder="0"/>
    </dxf>
    <dxf>
      <numFmt numFmtId="15" formatCode="0.00E+00"/>
    </dxf>
    <dxf>
      <numFmt numFmtId="0" formatCode="General"/>
    </dxf>
    <dxf>
      <numFmt numFmtId="0" formatCode="General"/>
    </dxf>
    <dxf>
      <numFmt numFmtId="15" formatCode="0.00E+00"/>
    </dxf>
    <dxf>
      <numFmt numFmtId="15" formatCode="0.00E+00"/>
    </dxf>
    <dxf>
      <numFmt numFmtId="0" formatCode="General"/>
    </dxf>
    <dxf>
      <numFmt numFmtId="15" formatCode="0.00E+00"/>
    </dxf>
    <dxf>
      <numFmt numFmtId="15" formatCode="0.00E+00"/>
    </dxf>
    <dxf>
      <numFmt numFmtId="15" formatCode="0.00E+00"/>
    </dxf>
    <dxf>
      <numFmt numFmtId="15" formatCode="0.00E+00"/>
    </dxf>
    <dxf>
      <numFmt numFmtId="15" formatCode="0.00E+00"/>
    </dxf>
    <dxf>
      <numFmt numFmtId="171" formatCode="0.000"/>
    </dxf>
    <dxf>
      <numFmt numFmtId="170" formatCode="0.000000"/>
    </dxf>
    <dxf>
      <numFmt numFmtId="170" formatCode="0.000000"/>
    </dxf>
    <dxf>
      <numFmt numFmtId="2" formatCode="0.00"/>
    </dxf>
    <dxf>
      <numFmt numFmtId="169" formatCode="0.0000"/>
    </dxf>
    <dxf>
      <numFmt numFmtId="168" formatCode="0.00000"/>
    </dxf>
    <dxf>
      <numFmt numFmtId="2" formatCode="0.00"/>
    </dxf>
    <dxf>
      <numFmt numFmtId="169" formatCode="0.0000"/>
    </dxf>
    <dxf>
      <numFmt numFmtId="169" formatCode="0.0000"/>
    </dxf>
    <dxf>
      <numFmt numFmtId="2" formatCode="0.00"/>
    </dxf>
    <dxf>
      <numFmt numFmtId="168" formatCode="0.00000"/>
    </dxf>
    <dxf>
      <numFmt numFmtId="168" formatCode="0.00000"/>
    </dxf>
    <dxf>
      <alignment horizontal="center" vertical="bottom" textRotation="0" wrapText="0" indent="0" justifyLastLine="0" shrinkToFit="0" readingOrder="0"/>
    </dxf>
    <dxf>
      <font>
        <strike val="0"/>
        <outline val="0"/>
        <shadow val="0"/>
        <u val="none"/>
        <vertAlign val="baseline"/>
        <sz val="10"/>
        <color auto="1"/>
        <name val="Arial"/>
        <scheme val="none"/>
      </font>
      <fill>
        <patternFill patternType="solid">
          <fgColor indexed="64"/>
          <bgColor rgb="FFFFFF00"/>
        </patternFill>
      </fill>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0"/>
        <color theme="1"/>
        <name val="Arial"/>
        <scheme val="none"/>
      </font>
    </dxf>
    <dxf>
      <font>
        <strike val="0"/>
        <outline val="0"/>
        <shadow val="0"/>
        <vertAlign val="baseline"/>
        <sz val="10"/>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strike val="0"/>
        <outline val="0"/>
        <shadow val="0"/>
        <vertAlign val="baseline"/>
        <sz val="10"/>
        <name val="Arial"/>
        <scheme val="none"/>
      </font>
    </dxf>
    <dxf>
      <font>
        <b val="0"/>
        <i val="0"/>
        <strike val="0"/>
        <condense val="0"/>
        <extend val="0"/>
        <outline val="0"/>
        <shadow val="0"/>
        <u val="none"/>
        <vertAlign val="baseline"/>
        <sz val="10"/>
        <color theme="1"/>
        <name val="Arial"/>
        <scheme val="none"/>
      </font>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0"/>
        <color theme="1"/>
        <name val="Arial"/>
        <scheme val="none"/>
      </font>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C7E2AC"/>
      <color rgb="FFD1EDFF"/>
      <color rgb="FF005C97"/>
      <color rgb="FF61A744"/>
      <color rgb="FF008FB4"/>
      <color rgb="FFAFEEFF"/>
      <color rgb="FFDEDBD8"/>
      <color rgb="FFA49D94"/>
      <color rgb="FFA4D292"/>
      <color rgb="FF10A3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6</xdr:col>
      <xdr:colOff>457200</xdr:colOff>
      <xdr:row>90</xdr:row>
      <xdr:rowOff>123825</xdr:rowOff>
    </xdr:from>
    <xdr:to>
      <xdr:col>8</xdr:col>
      <xdr:colOff>933450</xdr:colOff>
      <xdr:row>94</xdr:row>
      <xdr:rowOff>57150</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15201900"/>
          <a:ext cx="1771650" cy="581025"/>
        </a:xfrm>
        <a:prstGeom prst="rect">
          <a:avLst/>
        </a:prstGeom>
      </xdr:spPr>
    </xdr:pic>
    <xdr:clientData/>
  </xdr:twoCellAnchor>
  <xdr:twoCellAnchor>
    <xdr:from>
      <xdr:col>0</xdr:col>
      <xdr:colOff>38100</xdr:colOff>
      <xdr:row>5</xdr:row>
      <xdr:rowOff>200025</xdr:rowOff>
    </xdr:from>
    <xdr:to>
      <xdr:col>9</xdr:col>
      <xdr:colOff>19050</xdr:colOff>
      <xdr:row>94</xdr:row>
      <xdr:rowOff>121923</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8100" y="1219200"/>
          <a:ext cx="6191250" cy="14628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u="sng">
              <a:solidFill>
                <a:schemeClr val="dk1"/>
              </a:solidFill>
              <a:effectLst/>
              <a:latin typeface="+mn-lt"/>
              <a:ea typeface="+mn-ea"/>
              <a:cs typeface="+mn-cs"/>
            </a:rPr>
            <a:t>Step 1: Pre-Screen</a:t>
          </a:r>
        </a:p>
        <a:p>
          <a:pPr marL="228600" indent="-228600">
            <a:buFont typeface="+mj-lt"/>
            <a:buAutoNum type="arabicPeriod"/>
          </a:pPr>
          <a:endParaRPr lang="en-CA" sz="1100">
            <a:solidFill>
              <a:schemeClr val="dk1"/>
            </a:solidFill>
            <a:effectLst/>
            <a:latin typeface="+mn-lt"/>
            <a:ea typeface="+mn-ea"/>
            <a:cs typeface="+mn-cs"/>
          </a:endParaRPr>
        </a:p>
        <a:p>
          <a:pPr marL="0" indent="0">
            <a:buFontTx/>
            <a:buNone/>
          </a:pPr>
          <a:r>
            <a:rPr lang="en-CA" sz="1100" b="1">
              <a:solidFill>
                <a:schemeClr val="dk1"/>
              </a:solidFill>
              <a:effectLst/>
              <a:latin typeface="+mn-lt"/>
              <a:ea typeface="+mn-ea"/>
              <a:cs typeface="+mn-cs"/>
            </a:rPr>
            <a:t>Note: </a:t>
          </a:r>
        </a:p>
        <a:p>
          <a:pPr marL="0" indent="0">
            <a:buFontTx/>
            <a:buNone/>
          </a:pPr>
          <a:r>
            <a:rPr lang="en-CA" sz="1100" b="1">
              <a:solidFill>
                <a:schemeClr val="dk1"/>
              </a:solidFill>
              <a:effectLst/>
              <a:latin typeface="+mn-lt"/>
              <a:ea typeface="+mn-ea"/>
              <a:cs typeface="+mn-cs"/>
            </a:rPr>
            <a:t>All CleanBC </a:t>
          </a:r>
          <a:r>
            <a:rPr lang="en-CA" sz="1100" b="1" baseline="0">
              <a:solidFill>
                <a:schemeClr val="dk1"/>
              </a:solidFill>
              <a:effectLst/>
              <a:latin typeface="+mn-lt"/>
              <a:ea typeface="+mn-ea"/>
              <a:cs typeface="+mn-cs"/>
            </a:rPr>
            <a:t>Custom </a:t>
          </a:r>
          <a:r>
            <a:rPr lang="en-CA" sz="1100" b="1">
              <a:solidFill>
                <a:schemeClr val="dk1"/>
              </a:solidFill>
              <a:effectLst/>
              <a:latin typeface="+mn-lt"/>
              <a:ea typeface="+mn-ea"/>
              <a:cs typeface="+mn-cs"/>
            </a:rPr>
            <a:t>applications to complete 1.0 Pre-Screen  section.  If applying directly for incentive complete sections 1.0 (Pre-Screen) and 3.0 (Study Results) and send to BC Hydro for review along with </a:t>
          </a:r>
          <a:r>
            <a:rPr lang="en-CA" sz="1100" b="1" baseline="0">
              <a:solidFill>
                <a:schemeClr val="dk1"/>
              </a:solidFill>
              <a:effectLst/>
              <a:latin typeface="+mn-lt"/>
              <a:ea typeface="+mn-ea"/>
              <a:cs typeface="+mn-cs"/>
            </a:rPr>
            <a:t>the existing energy study report</a:t>
          </a:r>
          <a:r>
            <a:rPr lang="en-CA" sz="1100" b="1">
              <a:solidFill>
                <a:schemeClr val="dk1"/>
              </a:solidFill>
              <a:effectLst/>
              <a:latin typeface="+mn-lt"/>
              <a:ea typeface="+mn-ea"/>
              <a:cs typeface="+mn-cs"/>
            </a:rPr>
            <a:t>.</a:t>
          </a:r>
        </a:p>
        <a:p>
          <a:pPr marL="0" indent="0">
            <a:buFontTx/>
            <a:buNone/>
          </a:pPr>
          <a:endParaRPr lang="en-CA" sz="1100" b="1">
            <a:solidFill>
              <a:schemeClr val="dk1"/>
            </a:solidFill>
            <a:effectLst/>
            <a:latin typeface="+mn-lt"/>
            <a:ea typeface="+mn-ea"/>
            <a:cs typeface="+mn-cs"/>
          </a:endParaRPr>
        </a:p>
        <a:p>
          <a:pPr marL="228600" indent="-228600">
            <a:buFont typeface="+mj-lt"/>
            <a:buAutoNum type="arabicPeriod"/>
          </a:pPr>
          <a:r>
            <a:rPr lang="en-CA" sz="1100">
              <a:solidFill>
                <a:schemeClr val="dk1"/>
              </a:solidFill>
              <a:effectLst/>
              <a:latin typeface="+mn-lt"/>
              <a:ea typeface="+mn-ea"/>
              <a:cs typeface="+mn-cs"/>
            </a:rPr>
            <a:t>Enter Customer and Project details</a:t>
          </a:r>
          <a:endParaRPr lang="en-CA" sz="1100">
            <a:effectLst/>
          </a:endParaRPr>
        </a:p>
        <a:p>
          <a:pPr marL="685800" lvl="1" indent="-228600">
            <a:buFont typeface="+mj-lt"/>
            <a:buAutoNum type="alphaLcPeriod"/>
          </a:pPr>
          <a:r>
            <a:rPr lang="en-CA" sz="1100">
              <a:solidFill>
                <a:schemeClr val="dk1"/>
              </a:solidFill>
              <a:effectLst/>
              <a:latin typeface="+mn-lt"/>
              <a:ea typeface="+mn-ea"/>
              <a:cs typeface="+mn-cs"/>
            </a:rPr>
            <a:t>Confirm Revision number and date</a:t>
          </a:r>
        </a:p>
        <a:p>
          <a:pPr marL="685800" lvl="1" indent="-228600">
            <a:buFont typeface="+mj-lt"/>
            <a:buAutoNum type="alphaLcPeriod"/>
          </a:pPr>
          <a:r>
            <a:rPr lang="en-CA" sz="1100">
              <a:solidFill>
                <a:schemeClr val="dk1"/>
              </a:solidFill>
              <a:effectLst/>
              <a:latin typeface="+mn-lt"/>
              <a:ea typeface="+mn-ea"/>
              <a:cs typeface="+mn-cs"/>
            </a:rPr>
            <a:t>Enter the name of the customer and site information</a:t>
          </a:r>
          <a:endParaRPr lang="en-CA" sz="1400">
            <a:solidFill>
              <a:schemeClr val="dk1"/>
            </a:solidFill>
            <a:effectLst/>
            <a:latin typeface="+mn-lt"/>
            <a:ea typeface="+mn-ea"/>
            <a:cs typeface="+mn-cs"/>
          </a:endParaRPr>
        </a:p>
        <a:p>
          <a:pPr marL="685800" lvl="1" indent="-228600">
            <a:buFont typeface="+mj-lt"/>
            <a:buAutoNum type="alphaLcPeriod"/>
          </a:pPr>
          <a:r>
            <a:rPr lang="en-CA" sz="1100" baseline="0">
              <a:solidFill>
                <a:schemeClr val="dk1"/>
              </a:solidFill>
              <a:effectLst/>
              <a:latin typeface="+mn-lt"/>
              <a:ea typeface="+mn-ea"/>
              <a:cs typeface="+mn-cs"/>
            </a:rPr>
            <a:t>Enter a project title</a:t>
          </a:r>
          <a:endParaRPr lang="en-CA" sz="1400" baseline="0">
            <a:solidFill>
              <a:schemeClr val="dk1"/>
            </a:solidFill>
            <a:effectLst/>
            <a:latin typeface="+mn-lt"/>
            <a:ea typeface="+mn-ea"/>
            <a:cs typeface="+mn-cs"/>
          </a:endParaRPr>
        </a:p>
        <a:p>
          <a:pPr marL="685800" lvl="1" indent="-228600">
            <a:buFont typeface="+mj-lt"/>
            <a:buAutoNum type="alphaLcPeriod"/>
          </a:pPr>
          <a:r>
            <a:rPr lang="en-CA" sz="1100">
              <a:solidFill>
                <a:schemeClr val="dk1"/>
              </a:solidFill>
              <a:effectLst/>
              <a:latin typeface="+mn-lt"/>
              <a:ea typeface="+mn-ea"/>
              <a:cs typeface="+mn-cs"/>
            </a:rPr>
            <a:t>If</a:t>
          </a:r>
          <a:r>
            <a:rPr lang="en-CA" sz="1100" baseline="0">
              <a:solidFill>
                <a:schemeClr val="dk1"/>
              </a:solidFill>
              <a:effectLst/>
              <a:latin typeface="+mn-lt"/>
              <a:ea typeface="+mn-ea"/>
              <a:cs typeface="+mn-cs"/>
            </a:rPr>
            <a:t> applicable, e</a:t>
          </a:r>
          <a:r>
            <a:rPr lang="en-CA" sz="1100">
              <a:solidFill>
                <a:schemeClr val="dk1"/>
              </a:solidFill>
              <a:effectLst/>
              <a:latin typeface="+mn-lt"/>
              <a:ea typeface="+mn-ea"/>
              <a:cs typeface="+mn-cs"/>
            </a:rPr>
            <a:t>nter</a:t>
          </a:r>
          <a:r>
            <a:rPr lang="en-CA" sz="1100" baseline="0">
              <a:solidFill>
                <a:schemeClr val="dk1"/>
              </a:solidFill>
              <a:effectLst/>
              <a:latin typeface="+mn-lt"/>
              <a:ea typeface="+mn-ea"/>
              <a:cs typeface="+mn-cs"/>
            </a:rPr>
            <a:t> the name of the BC Hydro KAM and /or BC Hydro sponsored Energy Manager</a:t>
          </a:r>
        </a:p>
        <a:p>
          <a:pPr marL="685800" lvl="1" indent="-228600">
            <a:buFont typeface="+mj-lt"/>
            <a:buAutoNum type="alphaLcPeriod"/>
          </a:pPr>
          <a:endParaRPr lang="en-CA" sz="1100" baseline="0">
            <a:solidFill>
              <a:schemeClr val="dk1"/>
            </a:solidFill>
            <a:effectLst/>
            <a:latin typeface="+mn-lt"/>
            <a:ea typeface="+mn-ea"/>
            <a:cs typeface="+mn-cs"/>
          </a:endParaRPr>
        </a:p>
        <a:p>
          <a:pPr marL="228600" lvl="0" indent="-228600">
            <a:buFont typeface="+mj-lt"/>
            <a:buAutoNum type="arabicPeriod"/>
          </a:pPr>
          <a:r>
            <a:rPr lang="en-CA" sz="1100" baseline="0">
              <a:solidFill>
                <a:schemeClr val="dk1"/>
              </a:solidFill>
              <a:effectLst/>
              <a:latin typeface="+mn-lt"/>
              <a:ea typeface="+mn-ea"/>
              <a:cs typeface="+mn-cs"/>
            </a:rPr>
            <a:t>Enter the Project Category</a:t>
          </a:r>
        </a:p>
        <a:p>
          <a:pPr marL="228600" lvl="0" indent="-228600">
            <a:buFont typeface="+mj-lt"/>
            <a:buAutoNum type="arabicPeriod"/>
          </a:pPr>
          <a:endParaRPr lang="en-CA" sz="1100" baseline="0">
            <a:solidFill>
              <a:schemeClr val="dk1"/>
            </a:solidFill>
            <a:effectLst/>
            <a:latin typeface="+mn-lt"/>
            <a:ea typeface="+mn-ea"/>
            <a:cs typeface="+mn-cs"/>
          </a:endParaRPr>
        </a:p>
        <a:p>
          <a:pPr marL="228600" lvl="0" indent="-228600">
            <a:buFont typeface="+mj-lt"/>
            <a:buAutoNum type="arabicPeriod"/>
          </a:pPr>
          <a:r>
            <a:rPr lang="en-CA" sz="1100" baseline="0">
              <a:solidFill>
                <a:schemeClr val="dk1"/>
              </a:solidFill>
              <a:effectLst/>
              <a:latin typeface="+mn-lt"/>
              <a:ea typeface="+mn-ea"/>
              <a:cs typeface="+mn-cs"/>
            </a:rPr>
            <a:t>Describe the project, the system under consideration, and whether any prior projects occurred</a:t>
          </a:r>
        </a:p>
        <a:p>
          <a:pPr marL="228600" lvl="0" indent="-228600">
            <a:buFont typeface="+mj-lt"/>
            <a:buAutoNum type="arabicPeriod"/>
          </a:pPr>
          <a:endParaRPr lang="en-CA" sz="1100" baseline="0">
            <a:solidFill>
              <a:schemeClr val="dk1"/>
            </a:solidFill>
            <a:effectLst/>
            <a:latin typeface="+mn-lt"/>
            <a:ea typeface="+mn-ea"/>
            <a:cs typeface="+mn-cs"/>
          </a:endParaRPr>
        </a:p>
        <a:p>
          <a:pPr marL="228600" lvl="0" indent="-228600">
            <a:buFont typeface="+mj-lt"/>
            <a:buAutoNum type="arabicPeriod"/>
          </a:pPr>
          <a:r>
            <a:rPr lang="en-CA" sz="1100">
              <a:solidFill>
                <a:schemeClr val="dk1"/>
              </a:solidFill>
              <a:effectLst/>
              <a:latin typeface="+mn-lt"/>
              <a:ea typeface="+mn-ea"/>
              <a:cs typeface="+mn-cs"/>
            </a:rPr>
            <a:t>Define the system boundary.</a:t>
          </a:r>
        </a:p>
        <a:p>
          <a:pPr marL="685800" lvl="1" indent="-228600">
            <a:buFont typeface="+mj-lt"/>
            <a:buAutoNum type="alphaLcPeriod"/>
          </a:pPr>
          <a:r>
            <a:rPr lang="en-CA" sz="1100" baseline="0">
              <a:solidFill>
                <a:schemeClr val="dk1"/>
              </a:solidFill>
              <a:effectLst/>
              <a:latin typeface="+mn-lt"/>
              <a:ea typeface="+mn-ea"/>
              <a:cs typeface="+mn-cs"/>
            </a:rPr>
            <a:t>Enter the stationary end uses within the system boundary, their corresponding fossil fuel type, and the proposed LCE measure to impact that end use.</a:t>
          </a:r>
          <a:endParaRPr lang="en-CA" sz="1400" baseline="0">
            <a:solidFill>
              <a:schemeClr val="dk1"/>
            </a:solidFill>
            <a:effectLst/>
            <a:latin typeface="+mn-lt"/>
            <a:ea typeface="+mn-ea"/>
            <a:cs typeface="+mn-cs"/>
          </a:endParaRPr>
        </a:p>
        <a:p>
          <a:pPr marL="685800" lvl="1" indent="-228600">
            <a:buFont typeface="+mj-lt"/>
            <a:buAutoNum type="alphaLcPeriod"/>
          </a:pPr>
          <a:endParaRPr lang="en-CA" sz="1100">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en-CA" sz="1100">
              <a:solidFill>
                <a:schemeClr val="dk1"/>
              </a:solidFill>
              <a:effectLst/>
              <a:latin typeface="+mn-lt"/>
              <a:ea typeface="+mn-ea"/>
              <a:cs typeface="+mn-cs"/>
            </a:rPr>
            <a:t>Enter the electrical consumption and corresponding rate including </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r>
            <a:rPr lang="en-CA" sz="1100">
              <a:solidFill>
                <a:schemeClr val="dk1"/>
              </a:solidFill>
              <a:effectLst/>
              <a:latin typeface="+mn-lt"/>
              <a:ea typeface="+mn-ea"/>
              <a:cs typeface="+mn-cs"/>
            </a:rPr>
            <a:t>purchased electricity</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r>
            <a:rPr lang="en-CA" sz="1100">
              <a:solidFill>
                <a:schemeClr val="dk1"/>
              </a:solidFill>
              <a:effectLst/>
              <a:latin typeface="+mn-lt"/>
              <a:ea typeface="+mn-ea"/>
              <a:cs typeface="+mn-cs"/>
            </a:rPr>
            <a:t>average</a:t>
          </a:r>
          <a:r>
            <a:rPr lang="en-CA" sz="1100" baseline="0">
              <a:solidFill>
                <a:schemeClr val="dk1"/>
              </a:solidFill>
              <a:effectLst/>
              <a:latin typeface="+mn-lt"/>
              <a:ea typeface="+mn-ea"/>
              <a:cs typeface="+mn-cs"/>
            </a:rPr>
            <a:t> annual </a:t>
          </a:r>
          <a:r>
            <a:rPr lang="en-CA" sz="1100">
              <a:solidFill>
                <a:schemeClr val="dk1"/>
              </a:solidFill>
              <a:effectLst/>
              <a:latin typeface="+mn-lt"/>
              <a:ea typeface="+mn-ea"/>
              <a:cs typeface="+mn-cs"/>
            </a:rPr>
            <a:t>peak demand and </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r>
            <a:rPr lang="en-CA" sz="1100">
              <a:solidFill>
                <a:schemeClr val="dk1"/>
              </a:solidFill>
              <a:effectLst/>
              <a:latin typeface="+mn-lt"/>
              <a:ea typeface="+mn-ea"/>
              <a:cs typeface="+mn-cs"/>
            </a:rPr>
            <a:t>average monthly</a:t>
          </a:r>
          <a:r>
            <a:rPr lang="en-CA" sz="1100" baseline="0">
              <a:solidFill>
                <a:schemeClr val="dk1"/>
              </a:solidFill>
              <a:effectLst/>
              <a:latin typeface="+mn-lt"/>
              <a:ea typeface="+mn-ea"/>
              <a:cs typeface="+mn-cs"/>
            </a:rPr>
            <a:t> peak </a:t>
          </a:r>
          <a:r>
            <a:rPr lang="en-CA" sz="1100">
              <a:solidFill>
                <a:schemeClr val="dk1"/>
              </a:solidFill>
              <a:effectLst/>
              <a:latin typeface="+mn-lt"/>
              <a:ea typeface="+mn-ea"/>
              <a:cs typeface="+mn-cs"/>
            </a:rPr>
            <a:t>demand.  </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endParaRPr lang="en-CA" sz="1100">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en-CA" sz="1100">
              <a:solidFill>
                <a:schemeClr val="dk1"/>
              </a:solidFill>
              <a:effectLst/>
              <a:latin typeface="+mn-lt"/>
              <a:ea typeface="+mn-ea"/>
              <a:cs typeface="+mn-cs"/>
            </a:rPr>
            <a:t>Enter</a:t>
          </a:r>
          <a:r>
            <a:rPr lang="en-CA" sz="1100" baseline="0">
              <a:solidFill>
                <a:schemeClr val="dk1"/>
              </a:solidFill>
              <a:effectLst/>
              <a:latin typeface="+mn-lt"/>
              <a:ea typeface="+mn-ea"/>
              <a:cs typeface="+mn-cs"/>
            </a:rPr>
            <a:t> the </a:t>
          </a:r>
          <a:r>
            <a:rPr lang="en-CA" sz="1100">
              <a:solidFill>
                <a:schemeClr val="dk1"/>
              </a:solidFill>
              <a:effectLst/>
              <a:latin typeface="+mn-lt"/>
              <a:ea typeface="+mn-ea"/>
              <a:cs typeface="+mn-cs"/>
            </a:rPr>
            <a:t>fossil fuels</a:t>
          </a:r>
          <a:r>
            <a:rPr lang="en-CA" sz="1100" baseline="0">
              <a:solidFill>
                <a:schemeClr val="dk1"/>
              </a:solidFill>
              <a:effectLst/>
              <a:latin typeface="+mn-lt"/>
              <a:ea typeface="+mn-ea"/>
              <a:cs typeface="+mn-cs"/>
            </a:rPr>
            <a:t> consumed by end-uses </a:t>
          </a:r>
          <a:r>
            <a:rPr lang="en-CA" sz="1100">
              <a:solidFill>
                <a:schemeClr val="dk1"/>
              </a:solidFill>
              <a:effectLst/>
              <a:latin typeface="+mn-lt"/>
              <a:ea typeface="+mn-ea"/>
              <a:cs typeface="+mn-cs"/>
            </a:rPr>
            <a:t>within the system boundary. </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r>
            <a:rPr lang="en-CA" sz="1100">
              <a:solidFill>
                <a:schemeClr val="dk1"/>
              </a:solidFill>
              <a:effectLst/>
              <a:latin typeface="+mn-lt"/>
              <a:ea typeface="+mn-ea"/>
              <a:cs typeface="+mn-cs"/>
            </a:rPr>
            <a:t>Enter the corresponding fuel quantity based on the units provided</a:t>
          </a:r>
          <a:r>
            <a:rPr lang="en-CA" sz="1100" baseline="0">
              <a:solidFill>
                <a:schemeClr val="dk1"/>
              </a:solidFill>
              <a:effectLst/>
              <a:latin typeface="+mn-lt"/>
              <a:ea typeface="+mn-ea"/>
              <a:cs typeface="+mn-cs"/>
            </a:rPr>
            <a:t> </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r>
            <a:rPr lang="en-CA" sz="1100">
              <a:solidFill>
                <a:schemeClr val="dk1"/>
              </a:solidFill>
              <a:effectLst/>
              <a:latin typeface="+mn-lt"/>
              <a:ea typeface="+mn-ea"/>
              <a:cs typeface="+mn-cs"/>
            </a:rPr>
            <a:t>Enter the approximate rate in $/unit for the fuel specified</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lang="en-CA" sz="1100">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en-CA" sz="1100">
              <a:solidFill>
                <a:schemeClr val="dk1"/>
              </a:solidFill>
              <a:effectLst/>
              <a:latin typeface="+mn-lt"/>
              <a:ea typeface="+mn-ea"/>
              <a:cs typeface="+mn-cs"/>
            </a:rPr>
            <a:t>Describe the proposed</a:t>
          </a:r>
          <a:r>
            <a:rPr lang="en-CA" sz="1100" baseline="0">
              <a:solidFill>
                <a:schemeClr val="dk1"/>
              </a:solidFill>
              <a:effectLst/>
              <a:latin typeface="+mn-lt"/>
              <a:ea typeface="+mn-ea"/>
              <a:cs typeface="+mn-cs"/>
            </a:rPr>
            <a:t> LCE opportunity and enter values to describe the project impact.  </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r>
            <a:rPr lang="en-CA" sz="1100" baseline="0">
              <a:solidFill>
                <a:schemeClr val="dk1"/>
              </a:solidFill>
              <a:effectLst/>
              <a:latin typeface="+mn-lt"/>
              <a:ea typeface="+mn-ea"/>
              <a:cs typeface="+mn-cs"/>
            </a:rPr>
            <a:t>Ie. Cost difference between a natural gas RTU vs. hybrid gas/electric RTU in the instructions.</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endParaRPr lang="en-CA" sz="1100" baseline="0">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en-CA" sz="1100" baseline="0">
              <a:solidFill>
                <a:schemeClr val="dk1"/>
              </a:solidFill>
              <a:effectLst/>
              <a:latin typeface="+mn-lt"/>
              <a:ea typeface="+mn-ea"/>
              <a:cs typeface="+mn-cs"/>
            </a:rPr>
            <a:t>Enter any further information on the expected additional benefits that may be expected from the project including Carbon Tax Credits, 3rd party funding, or other.</a:t>
          </a:r>
          <a:endParaRPr lang="en-CA" sz="1100">
            <a:solidFill>
              <a:schemeClr val="dk1"/>
            </a:solidFill>
            <a:effectLst/>
            <a:latin typeface="+mn-lt"/>
            <a:ea typeface="+mn-ea"/>
            <a:cs typeface="+mn-cs"/>
          </a:endParaRPr>
        </a:p>
        <a:p>
          <a:pPr marL="228600" lvl="0" indent="-228600">
            <a:buFont typeface="+mj-lt"/>
            <a:buAutoNum type="arabicPeriod"/>
          </a:pPr>
          <a:endParaRPr lang="en-CA" sz="1100">
            <a:solidFill>
              <a:schemeClr val="dk1"/>
            </a:solidFill>
            <a:effectLst/>
            <a:latin typeface="+mn-lt"/>
            <a:ea typeface="+mn-ea"/>
            <a:cs typeface="+mn-cs"/>
          </a:endParaRPr>
        </a:p>
        <a:p>
          <a:pPr marL="228600" lvl="0" indent="-228600">
            <a:buFont typeface="+mj-lt"/>
            <a:buAutoNum type="arabicPeriod"/>
          </a:pPr>
          <a:r>
            <a:rPr lang="en-CA" sz="1100">
              <a:solidFill>
                <a:schemeClr val="dk1"/>
              </a:solidFill>
              <a:effectLst/>
              <a:latin typeface="+mn-lt"/>
              <a:ea typeface="+mn-ea"/>
              <a:cs typeface="+mn-cs"/>
            </a:rPr>
            <a:t>Describe</a:t>
          </a:r>
          <a:r>
            <a:rPr lang="en-CA" sz="1100" baseline="0">
              <a:solidFill>
                <a:schemeClr val="dk1"/>
              </a:solidFill>
              <a:effectLst/>
              <a:latin typeface="+mn-lt"/>
              <a:ea typeface="+mn-ea"/>
              <a:cs typeface="+mn-cs"/>
            </a:rPr>
            <a:t> a possible implementation schedule, risks and their mitigation, and comments on confidence in and accuracy of pre-screen information</a:t>
          </a:r>
          <a:endParaRPr lang="en-CA" sz="1100">
            <a:solidFill>
              <a:schemeClr val="dk1"/>
            </a:solidFill>
            <a:effectLst/>
            <a:latin typeface="+mn-lt"/>
            <a:ea typeface="+mn-ea"/>
            <a:cs typeface="+mn-cs"/>
          </a:endParaRPr>
        </a:p>
        <a:p>
          <a:endParaRPr lang="en-CA" sz="1100">
            <a:effectLst/>
          </a:endParaRPr>
        </a:p>
        <a:p>
          <a:r>
            <a:rPr lang="en-CA" sz="1400" b="1" u="sng">
              <a:solidFill>
                <a:schemeClr val="dk1"/>
              </a:solidFill>
              <a:effectLst/>
              <a:latin typeface="+mn-lt"/>
              <a:ea typeface="+mn-ea"/>
              <a:cs typeface="+mn-cs"/>
            </a:rPr>
            <a:t>Step </a:t>
          </a:r>
          <a:r>
            <a:rPr lang="en-CA" sz="1400" b="1" u="sng" baseline="0">
              <a:solidFill>
                <a:schemeClr val="dk1"/>
              </a:solidFill>
              <a:effectLst/>
              <a:latin typeface="+mn-lt"/>
              <a:ea typeface="+mn-ea"/>
              <a:cs typeface="+mn-cs"/>
            </a:rPr>
            <a:t>2: </a:t>
          </a:r>
          <a:r>
            <a:rPr lang="en-CA" sz="1400" b="1" u="sng">
              <a:solidFill>
                <a:schemeClr val="dk1"/>
              </a:solidFill>
              <a:effectLst/>
              <a:latin typeface="+mn-lt"/>
              <a:ea typeface="+mn-ea"/>
              <a:cs typeface="+mn-cs"/>
            </a:rPr>
            <a:t>Proposal</a:t>
          </a:r>
          <a:r>
            <a:rPr lang="en-CA" sz="1400" b="1" u="sng" baseline="0">
              <a:solidFill>
                <a:schemeClr val="dk1"/>
              </a:solidFill>
              <a:effectLst/>
              <a:latin typeface="+mn-lt"/>
              <a:ea typeface="+mn-ea"/>
              <a:cs typeface="+mn-cs"/>
            </a:rPr>
            <a:t> </a:t>
          </a:r>
          <a:endParaRPr lang="en-CA" sz="1400">
            <a:effectLst/>
          </a:endParaRPr>
        </a:p>
        <a:p>
          <a:r>
            <a:rPr lang="en-CA" sz="1100">
              <a:solidFill>
                <a:schemeClr val="dk1"/>
              </a:solidFill>
              <a:effectLst/>
              <a:latin typeface="+mn-lt"/>
              <a:ea typeface="+mn-ea"/>
              <a:cs typeface="+mn-cs"/>
            </a:rPr>
            <a:t> </a:t>
          </a:r>
        </a:p>
        <a:p>
          <a:r>
            <a:rPr lang="en-CA" sz="1100" b="1">
              <a:solidFill>
                <a:schemeClr val="dk1"/>
              </a:solidFill>
              <a:effectLst/>
              <a:latin typeface="+mn-lt"/>
              <a:ea typeface="+mn-ea"/>
              <a:cs typeface="+mn-cs"/>
            </a:rPr>
            <a:t>Note: </a:t>
          </a:r>
          <a:endParaRPr lang="en-CA">
            <a:effectLst/>
          </a:endParaRPr>
        </a:p>
        <a:p>
          <a:r>
            <a:rPr lang="en-CA" sz="1100" b="1">
              <a:solidFill>
                <a:schemeClr val="dk1"/>
              </a:solidFill>
              <a:effectLst/>
              <a:latin typeface="+mn-lt"/>
              <a:ea typeface="+mn-ea"/>
              <a:cs typeface="+mn-cs"/>
            </a:rPr>
            <a:t>Once the Pre-Screen  submission is approved by BC Hydro, applicant is  to </a:t>
          </a:r>
          <a:r>
            <a:rPr lang="en-CA" sz="1100" b="1" baseline="0">
              <a:solidFill>
                <a:schemeClr val="dk1"/>
              </a:solidFill>
              <a:effectLst/>
              <a:latin typeface="+mn-lt"/>
              <a:ea typeface="+mn-ea"/>
              <a:cs typeface="+mn-cs"/>
            </a:rPr>
            <a:t>fill out the 2.0 Proposal section</a:t>
          </a:r>
          <a:r>
            <a:rPr lang="en-CA" sz="1100" b="1">
              <a:solidFill>
                <a:schemeClr val="dk1"/>
              </a:solidFill>
              <a:effectLst/>
              <a:latin typeface="+mn-lt"/>
              <a:ea typeface="+mn-ea"/>
              <a:cs typeface="+mn-cs"/>
            </a:rPr>
            <a:t>. Not applicable for projects applying directly for incentive .</a:t>
          </a:r>
          <a:endParaRPr lang="en-CA" sz="1100">
            <a:solidFill>
              <a:schemeClr val="dk1"/>
            </a:solidFill>
            <a:effectLst/>
            <a:latin typeface="+mn-lt"/>
            <a:ea typeface="+mn-ea"/>
            <a:cs typeface="+mn-cs"/>
          </a:endParaRPr>
        </a:p>
        <a:p>
          <a:endParaRPr lang="en-CA">
            <a:effectLst/>
          </a:endParaRPr>
        </a:p>
        <a:p>
          <a:pPr marL="228600" indent="-228600">
            <a:buFont typeface="+mj-lt"/>
            <a:buAutoNum type="arabicPeriod"/>
          </a:pPr>
          <a:r>
            <a:rPr lang="en-CA" sz="1100">
              <a:solidFill>
                <a:schemeClr val="dk1"/>
              </a:solidFill>
              <a:effectLst/>
              <a:latin typeface="+mn-lt"/>
              <a:ea typeface="+mn-ea"/>
              <a:cs typeface="+mn-cs"/>
            </a:rPr>
            <a:t>Enter</a:t>
          </a:r>
          <a:r>
            <a:rPr lang="en-CA" sz="1100" baseline="0">
              <a:solidFill>
                <a:schemeClr val="dk1"/>
              </a:solidFill>
              <a:effectLst/>
              <a:latin typeface="+mn-lt"/>
              <a:ea typeface="+mn-ea"/>
              <a:cs typeface="+mn-cs"/>
            </a:rPr>
            <a:t> the name and details of the Professional Engineering of Record, if known.</a:t>
          </a:r>
        </a:p>
        <a:p>
          <a:pPr marL="228600" marR="0" indent="-228600" defTabSz="914400" eaLnBrk="1" fontAlgn="auto" latinLnBrk="0" hangingPunct="1">
            <a:lnSpc>
              <a:spcPct val="100000"/>
            </a:lnSpc>
            <a:spcBef>
              <a:spcPts val="0"/>
            </a:spcBef>
            <a:spcAft>
              <a:spcPts val="0"/>
            </a:spcAft>
            <a:buClrTx/>
            <a:buSzTx/>
            <a:buFont typeface="+mj-lt"/>
            <a:buAutoNum type="arabicPeriod"/>
            <a:tabLst/>
            <a:defRPr/>
          </a:pPr>
          <a:endParaRPr lang="en-CA" sz="1100" baseline="0">
            <a:solidFill>
              <a:schemeClr val="dk1"/>
            </a:solidFill>
            <a:effectLst/>
            <a:latin typeface="+mn-lt"/>
            <a:ea typeface="+mn-ea"/>
            <a:cs typeface="+mn-cs"/>
          </a:endParaRPr>
        </a:p>
        <a:p>
          <a:pPr marL="228600" marR="0" indent="-228600" defTabSz="914400" eaLnBrk="1" fontAlgn="auto" latinLnBrk="0" hangingPunct="1">
            <a:lnSpc>
              <a:spcPct val="100000"/>
            </a:lnSpc>
            <a:spcBef>
              <a:spcPts val="0"/>
            </a:spcBef>
            <a:spcAft>
              <a:spcPts val="0"/>
            </a:spcAft>
            <a:buClrTx/>
            <a:buSzTx/>
            <a:buFont typeface="+mj-lt"/>
            <a:buAutoNum type="arabicPeriod"/>
            <a:tabLst/>
            <a:defRPr/>
          </a:pPr>
          <a:r>
            <a:rPr lang="en-CA" sz="1100" baseline="0">
              <a:solidFill>
                <a:schemeClr val="dk1"/>
              </a:solidFill>
              <a:effectLst/>
              <a:latin typeface="+mn-lt"/>
              <a:ea typeface="+mn-ea"/>
              <a:cs typeface="+mn-cs"/>
            </a:rPr>
            <a:t>Provide a yes or no answer to the four question</a:t>
          </a:r>
        </a:p>
        <a:p>
          <a:pPr marL="228600" marR="0" indent="-228600" defTabSz="914400" eaLnBrk="1" fontAlgn="auto" latinLnBrk="0" hangingPunct="1">
            <a:lnSpc>
              <a:spcPct val="100000"/>
            </a:lnSpc>
            <a:spcBef>
              <a:spcPts val="0"/>
            </a:spcBef>
            <a:spcAft>
              <a:spcPts val="0"/>
            </a:spcAft>
            <a:buClrTx/>
            <a:buSzTx/>
            <a:buFont typeface="+mj-lt"/>
            <a:buAutoNum type="arabicPeriod"/>
            <a:tabLst/>
            <a:defRPr/>
          </a:pPr>
          <a:endParaRPr lang="en-CA" sz="1100" baseline="0">
            <a:solidFill>
              <a:schemeClr val="dk1"/>
            </a:solidFill>
            <a:effectLst/>
            <a:latin typeface="+mn-lt"/>
            <a:ea typeface="+mn-ea"/>
            <a:cs typeface="+mn-cs"/>
          </a:endParaRPr>
        </a:p>
        <a:p>
          <a:pPr marL="228600" marR="0" indent="-228600" defTabSz="914400" eaLnBrk="1" fontAlgn="auto" latinLnBrk="0" hangingPunct="1">
            <a:lnSpc>
              <a:spcPct val="100000"/>
            </a:lnSpc>
            <a:spcBef>
              <a:spcPts val="0"/>
            </a:spcBef>
            <a:spcAft>
              <a:spcPts val="0"/>
            </a:spcAft>
            <a:buClrTx/>
            <a:buSzTx/>
            <a:buFont typeface="+mj-lt"/>
            <a:buAutoNum type="arabicPeriod"/>
            <a:tabLst/>
            <a:defRPr/>
          </a:pPr>
          <a:r>
            <a:rPr lang="en-CA" sz="1100" baseline="0">
              <a:solidFill>
                <a:schemeClr val="dk1"/>
              </a:solidFill>
              <a:effectLst/>
              <a:latin typeface="+mn-lt"/>
              <a:ea typeface="+mn-ea"/>
              <a:cs typeface="+mn-cs"/>
            </a:rPr>
            <a:t>Enter the name of the Conservation and Energy Management (CEM) Engineering contact, if known or applicable.</a:t>
          </a:r>
          <a:endParaRPr lang="en-CA">
            <a:effectLst/>
          </a:endParaRPr>
        </a:p>
        <a:p>
          <a:pPr marL="228600" indent="-228600">
            <a:buFont typeface="+mj-lt"/>
            <a:buAutoNum type="arabicPeriod"/>
          </a:pPr>
          <a:endParaRPr lang="en-CA" sz="1100">
            <a:solidFill>
              <a:schemeClr val="dk1"/>
            </a:solidFill>
            <a:effectLst/>
            <a:latin typeface="+mn-lt"/>
            <a:ea typeface="+mn-ea"/>
            <a:cs typeface="+mn-cs"/>
          </a:endParaRPr>
        </a:p>
        <a:p>
          <a:pPr marL="228600" indent="-228600">
            <a:buFont typeface="+mj-lt"/>
            <a:buAutoNum type="arabicPeriod"/>
          </a:pPr>
          <a:r>
            <a:rPr lang="en-CA" sz="1100">
              <a:solidFill>
                <a:schemeClr val="dk1"/>
              </a:solidFill>
              <a:effectLst/>
              <a:latin typeface="+mn-lt"/>
              <a:ea typeface="+mn-ea"/>
              <a:cs typeface="+mn-cs"/>
            </a:rPr>
            <a:t>Describe the </a:t>
          </a:r>
          <a:r>
            <a:rPr lang="en-CA" sz="1100" baseline="0">
              <a:solidFill>
                <a:schemeClr val="dk1"/>
              </a:solidFill>
              <a:effectLst/>
              <a:latin typeface="+mn-lt"/>
              <a:ea typeface="+mn-ea"/>
              <a:cs typeface="+mn-cs"/>
            </a:rPr>
            <a:t> system under consideration, proposed baseline conditions, potential opportunities, methods of verification, and a proposed study schedule.</a:t>
          </a:r>
        </a:p>
        <a:p>
          <a:pPr marL="228600" indent="-228600">
            <a:buFont typeface="+mj-lt"/>
            <a:buAutoNum type="arabicPeriod"/>
          </a:pPr>
          <a:endParaRPr lang="en-CA" sz="1100" baseline="0">
            <a:solidFill>
              <a:schemeClr val="dk1"/>
            </a:solidFill>
            <a:effectLst/>
            <a:latin typeface="+mn-lt"/>
            <a:ea typeface="+mn-ea"/>
            <a:cs typeface="+mn-cs"/>
          </a:endParaRPr>
        </a:p>
        <a:p>
          <a:pPr marL="228600" indent="-228600">
            <a:buFont typeface="+mj-lt"/>
            <a:buAutoNum type="arabicPeriod"/>
          </a:pPr>
          <a:r>
            <a:rPr lang="en-CA" sz="1100" baseline="0">
              <a:solidFill>
                <a:schemeClr val="dk1"/>
              </a:solidFill>
              <a:effectLst/>
              <a:latin typeface="+mn-lt"/>
              <a:ea typeface="+mn-ea"/>
              <a:cs typeface="+mn-cs"/>
            </a:rPr>
            <a:t>Enter the name, company, role, and expertise of the expect team to deliver LCE project</a:t>
          </a:r>
        </a:p>
        <a:p>
          <a:pPr marL="228600" indent="-228600">
            <a:buFont typeface="+mj-lt"/>
            <a:buAutoNum type="arabicPeriod"/>
          </a:pPr>
          <a:endParaRPr lang="en-CA" sz="1100" baseline="0">
            <a:solidFill>
              <a:schemeClr val="dk1"/>
            </a:solidFill>
            <a:effectLst/>
            <a:latin typeface="+mn-lt"/>
            <a:ea typeface="+mn-ea"/>
            <a:cs typeface="+mn-cs"/>
          </a:endParaRPr>
        </a:p>
        <a:p>
          <a:pPr marL="228600" indent="-228600">
            <a:buFont typeface="+mj-lt"/>
            <a:buAutoNum type="arabicPeriod"/>
          </a:pPr>
          <a:r>
            <a:rPr lang="en-CA" sz="1100" baseline="0">
              <a:solidFill>
                <a:schemeClr val="dk1"/>
              </a:solidFill>
              <a:effectLst/>
              <a:latin typeface="+mn-lt"/>
              <a:ea typeface="+mn-ea"/>
              <a:cs typeface="+mn-cs"/>
            </a:rPr>
            <a:t>Enter total expenses to perform study.  For industrial projects, please detail the professional fees and expenses  required to complete the study.</a:t>
          </a:r>
          <a:endParaRPr lang="en-CA">
            <a:effectLst/>
          </a:endParaRPr>
        </a:p>
        <a:p>
          <a:pPr marL="228600" lvl="0" indent="-228600">
            <a:buFont typeface="+mj-lt"/>
            <a:buAutoNum type="arabicPeriod"/>
          </a:pPr>
          <a:endParaRPr lang="en-CA" sz="1100" baseline="0">
            <a:solidFill>
              <a:schemeClr val="dk1"/>
            </a:solidFill>
            <a:effectLst/>
            <a:latin typeface="+mn-lt"/>
            <a:ea typeface="+mn-ea"/>
            <a:cs typeface="+mn-cs"/>
          </a:endParaRPr>
        </a:p>
        <a:p>
          <a:r>
            <a:rPr lang="en-CA" sz="1400" b="1" u="sng">
              <a:solidFill>
                <a:schemeClr val="dk1"/>
              </a:solidFill>
              <a:effectLst/>
              <a:latin typeface="+mn-lt"/>
              <a:ea typeface="+mn-ea"/>
              <a:cs typeface="+mn-cs"/>
            </a:rPr>
            <a:t>Step 3</a:t>
          </a:r>
          <a:r>
            <a:rPr lang="en-CA" sz="1400" b="1" u="sng" baseline="0">
              <a:solidFill>
                <a:schemeClr val="dk1"/>
              </a:solidFill>
              <a:effectLst/>
              <a:latin typeface="+mn-lt"/>
              <a:ea typeface="+mn-ea"/>
              <a:cs typeface="+mn-cs"/>
            </a:rPr>
            <a:t>: </a:t>
          </a:r>
          <a:r>
            <a:rPr lang="en-CA" sz="1400" b="1" u="sng">
              <a:solidFill>
                <a:schemeClr val="dk1"/>
              </a:solidFill>
              <a:effectLst/>
              <a:latin typeface="+mn-lt"/>
              <a:ea typeface="+mn-ea"/>
              <a:cs typeface="+mn-cs"/>
            </a:rPr>
            <a:t>Study Results</a:t>
          </a:r>
        </a:p>
        <a:p>
          <a:r>
            <a:rPr lang="en-CA" sz="1100">
              <a:effectLst/>
            </a:rPr>
            <a:t>Complete this section based on the outputs from the completed study</a:t>
          </a:r>
        </a:p>
        <a:p>
          <a:r>
            <a:rPr lang="en-CA" sz="1100">
              <a:solidFill>
                <a:schemeClr val="dk1"/>
              </a:solidFill>
              <a:effectLst/>
              <a:latin typeface="+mn-lt"/>
              <a:ea typeface="+mn-ea"/>
              <a:cs typeface="+mn-cs"/>
            </a:rPr>
            <a:t> </a:t>
          </a:r>
          <a:endParaRPr lang="en-CA">
            <a:effectLst/>
          </a:endParaRPr>
        </a:p>
        <a:p>
          <a:pPr marL="228600" indent="-228600">
            <a:buFont typeface="+mj-lt"/>
            <a:buAutoNum type="arabicPeriod"/>
          </a:pPr>
          <a:r>
            <a:rPr lang="en-CA" sz="1100" baseline="0">
              <a:solidFill>
                <a:schemeClr val="dk1"/>
              </a:solidFill>
              <a:effectLst/>
              <a:latin typeface="+mn-lt"/>
              <a:ea typeface="+mn-ea"/>
              <a:cs typeface="+mn-cs"/>
            </a:rPr>
            <a:t>Enter name and contact info of the consultant  who filled out this section and the  date of Study Results inputs.</a:t>
          </a:r>
        </a:p>
        <a:p>
          <a:pPr marL="228600" indent="-228600">
            <a:buFont typeface="+mj-lt"/>
            <a:buAutoNum type="arabicPeriod"/>
          </a:pPr>
          <a:endParaRPr lang="en-CA" sz="1100" baseline="0">
            <a:solidFill>
              <a:schemeClr val="dk1"/>
            </a:solidFill>
            <a:effectLst/>
            <a:latin typeface="+mn-lt"/>
            <a:ea typeface="+mn-ea"/>
            <a:cs typeface="+mn-cs"/>
          </a:endParaRPr>
        </a:p>
        <a:p>
          <a:pPr marL="228600" indent="-228600">
            <a:buFont typeface="+mj-lt"/>
            <a:buAutoNum type="arabicPeriod"/>
          </a:pPr>
          <a:r>
            <a:rPr lang="en-CA" sz="1100" baseline="0">
              <a:solidFill>
                <a:schemeClr val="dk1"/>
              </a:solidFill>
              <a:effectLst/>
              <a:latin typeface="+mn-lt"/>
              <a:ea typeface="+mn-ea"/>
              <a:cs typeface="+mn-cs"/>
            </a:rPr>
            <a:t>Confirm that proposed LCE measures match the measures proposed in pre-screen section</a:t>
          </a:r>
        </a:p>
        <a:p>
          <a:pPr marL="228600" indent="-228600">
            <a:buFont typeface="+mj-lt"/>
            <a:buAutoNum type="arabicPeriod"/>
          </a:pPr>
          <a:endParaRPr lang="en-CA" sz="1100" baseline="0">
            <a:solidFill>
              <a:schemeClr val="dk1"/>
            </a:solidFill>
            <a:effectLst/>
            <a:latin typeface="+mn-lt"/>
            <a:ea typeface="+mn-ea"/>
            <a:cs typeface="+mn-cs"/>
          </a:endParaRPr>
        </a:p>
        <a:p>
          <a:pPr marL="228600" indent="-228600">
            <a:buFont typeface="+mj-lt"/>
            <a:buAutoNum type="arabicPeriod"/>
          </a:pPr>
          <a:r>
            <a:rPr lang="en-CA" sz="1100" baseline="0">
              <a:solidFill>
                <a:schemeClr val="dk1"/>
              </a:solidFill>
              <a:effectLst/>
              <a:latin typeface="+mn-lt"/>
              <a:ea typeface="+mn-ea"/>
              <a:cs typeface="+mn-cs"/>
            </a:rPr>
            <a:t>Provide updates to baseline and proposed measures electricity and fuel consumption </a:t>
          </a:r>
        </a:p>
        <a:p>
          <a:pPr marL="228600" indent="-228600">
            <a:buFont typeface="+mj-lt"/>
            <a:buAutoNum type="arabicPeriod"/>
          </a:pPr>
          <a:endParaRPr lang="en-CA" sz="1100" baseline="0">
            <a:solidFill>
              <a:schemeClr val="dk1"/>
            </a:solidFill>
            <a:effectLst/>
            <a:latin typeface="+mn-lt"/>
            <a:ea typeface="+mn-ea"/>
            <a:cs typeface="+mn-cs"/>
          </a:endParaRPr>
        </a:p>
        <a:p>
          <a:pPr marL="228600" marR="0" indent="-228600" defTabSz="914400" eaLnBrk="1" fontAlgn="auto" latinLnBrk="0" hangingPunct="1">
            <a:lnSpc>
              <a:spcPct val="100000"/>
            </a:lnSpc>
            <a:spcBef>
              <a:spcPts val="0"/>
            </a:spcBef>
            <a:spcAft>
              <a:spcPts val="0"/>
            </a:spcAft>
            <a:buClrTx/>
            <a:buSzTx/>
            <a:buFont typeface="+mj-lt"/>
            <a:buAutoNum type="arabicPeriod"/>
            <a:tabLst/>
            <a:defRPr/>
          </a:pPr>
          <a:r>
            <a:rPr lang="en-CA" sz="1100" baseline="0">
              <a:solidFill>
                <a:schemeClr val="dk1"/>
              </a:solidFill>
              <a:effectLst/>
              <a:latin typeface="+mn-lt"/>
              <a:ea typeface="+mn-ea"/>
              <a:cs typeface="+mn-cs"/>
            </a:rPr>
            <a:t>Enter the electricity purchased , annual peak, and average monthly peak demand post LCE project </a:t>
          </a:r>
        </a:p>
        <a:p>
          <a:pPr marL="228600" marR="0" indent="-228600" defTabSz="914400" eaLnBrk="1" fontAlgn="auto" latinLnBrk="0" hangingPunct="1">
            <a:lnSpc>
              <a:spcPct val="100000"/>
            </a:lnSpc>
            <a:spcBef>
              <a:spcPts val="0"/>
            </a:spcBef>
            <a:spcAft>
              <a:spcPts val="0"/>
            </a:spcAft>
            <a:buClrTx/>
            <a:buSzTx/>
            <a:buFont typeface="+mj-lt"/>
            <a:buAutoNum type="arabicPeriod"/>
            <a:tabLst/>
            <a:defRPr/>
          </a:pPr>
          <a:endParaRPr lang="en-CA" sz="1100" baseline="0">
            <a:solidFill>
              <a:schemeClr val="dk1"/>
            </a:solidFill>
            <a:effectLst/>
            <a:latin typeface="+mn-lt"/>
            <a:ea typeface="+mn-ea"/>
            <a:cs typeface="+mn-cs"/>
          </a:endParaRPr>
        </a:p>
        <a:p>
          <a:pPr marL="228600" marR="0" indent="-228600" defTabSz="914400" eaLnBrk="1" fontAlgn="auto" latinLnBrk="0" hangingPunct="1">
            <a:lnSpc>
              <a:spcPct val="100000"/>
            </a:lnSpc>
            <a:spcBef>
              <a:spcPts val="0"/>
            </a:spcBef>
            <a:spcAft>
              <a:spcPts val="0"/>
            </a:spcAft>
            <a:buClrTx/>
            <a:buSzTx/>
            <a:buFont typeface="+mj-lt"/>
            <a:buAutoNum type="arabicPeriod"/>
            <a:tabLst/>
            <a:defRPr/>
          </a:pPr>
          <a:r>
            <a:rPr lang="en-CA" sz="1100" baseline="0">
              <a:solidFill>
                <a:schemeClr val="dk1"/>
              </a:solidFill>
              <a:effectLst/>
              <a:latin typeface="+mn-lt"/>
              <a:ea typeface="+mn-ea"/>
              <a:cs typeface="+mn-cs"/>
            </a:rPr>
            <a:t>Enter the quantity of fuels consumed by heating end uses post LCE project</a:t>
          </a:r>
        </a:p>
        <a:p>
          <a:pPr marL="228600" marR="0" indent="-228600" defTabSz="914400" eaLnBrk="1" fontAlgn="auto" latinLnBrk="0" hangingPunct="1">
            <a:lnSpc>
              <a:spcPct val="100000"/>
            </a:lnSpc>
            <a:spcBef>
              <a:spcPts val="0"/>
            </a:spcBef>
            <a:spcAft>
              <a:spcPts val="0"/>
            </a:spcAft>
            <a:buClrTx/>
            <a:buSzTx/>
            <a:buFont typeface="+mj-lt"/>
            <a:buAutoNum type="arabicPeriod"/>
            <a:tabLst/>
            <a:defRPr/>
          </a:pPr>
          <a:endParaRPr lang="en-CA" sz="1100" baseline="0">
            <a:solidFill>
              <a:schemeClr val="dk1"/>
            </a:solidFill>
            <a:effectLst/>
            <a:latin typeface="+mn-lt"/>
            <a:ea typeface="+mn-ea"/>
            <a:cs typeface="+mn-cs"/>
          </a:endParaRPr>
        </a:p>
        <a:p>
          <a:pPr marL="228600" marR="0" indent="-228600" defTabSz="914400" eaLnBrk="1" fontAlgn="auto" latinLnBrk="0" hangingPunct="1">
            <a:lnSpc>
              <a:spcPct val="100000"/>
            </a:lnSpc>
            <a:spcBef>
              <a:spcPts val="0"/>
            </a:spcBef>
            <a:spcAft>
              <a:spcPts val="0"/>
            </a:spcAft>
            <a:buClrTx/>
            <a:buSzTx/>
            <a:buFont typeface="+mj-lt"/>
            <a:buAutoNum type="arabicPeriod"/>
            <a:tabLst/>
            <a:defRPr/>
          </a:pPr>
          <a:r>
            <a:rPr lang="en-CA" sz="1100" baseline="0">
              <a:solidFill>
                <a:schemeClr val="dk1"/>
              </a:solidFill>
              <a:effectLst/>
              <a:latin typeface="+mn-lt"/>
              <a:ea typeface="+mn-ea"/>
              <a:cs typeface="+mn-cs"/>
            </a:rPr>
            <a:t>Enter a 'best estimate' value for the costs of the baseline (if applicable)</a:t>
          </a:r>
        </a:p>
        <a:p>
          <a:pPr marL="228600" marR="0" indent="-228600" defTabSz="914400" eaLnBrk="1" fontAlgn="auto" latinLnBrk="0" hangingPunct="1">
            <a:lnSpc>
              <a:spcPct val="100000"/>
            </a:lnSpc>
            <a:spcBef>
              <a:spcPts val="0"/>
            </a:spcBef>
            <a:spcAft>
              <a:spcPts val="0"/>
            </a:spcAft>
            <a:buClrTx/>
            <a:buSzTx/>
            <a:buFont typeface="+mj-lt"/>
            <a:buAutoNum type="arabicPeriod"/>
            <a:tabLst/>
            <a:defRPr/>
          </a:pPr>
          <a:endParaRPr lang="en-CA" sz="1100" baseline="0">
            <a:solidFill>
              <a:schemeClr val="dk1"/>
            </a:solidFill>
            <a:effectLst/>
            <a:latin typeface="+mn-lt"/>
            <a:ea typeface="+mn-ea"/>
            <a:cs typeface="+mn-cs"/>
          </a:endParaRPr>
        </a:p>
        <a:p>
          <a:pPr marL="228600" marR="0" indent="-228600" defTabSz="914400" eaLnBrk="1" fontAlgn="auto" latinLnBrk="0" hangingPunct="1">
            <a:lnSpc>
              <a:spcPct val="100000"/>
            </a:lnSpc>
            <a:spcBef>
              <a:spcPts val="0"/>
            </a:spcBef>
            <a:spcAft>
              <a:spcPts val="0"/>
            </a:spcAft>
            <a:buClrTx/>
            <a:buSzTx/>
            <a:buFont typeface="+mj-lt"/>
            <a:buAutoNum type="arabicPeriod"/>
            <a:tabLst/>
            <a:defRPr/>
          </a:pPr>
          <a:r>
            <a:rPr lang="en-CA" sz="1100" baseline="0">
              <a:solidFill>
                <a:schemeClr val="dk1"/>
              </a:solidFill>
              <a:effectLst/>
              <a:latin typeface="+mn-lt"/>
              <a:ea typeface="+mn-ea"/>
              <a:cs typeface="+mn-cs"/>
            </a:rPr>
            <a:t>Enter a 'best estimate' value for the costs to implement the LCE project</a:t>
          </a:r>
        </a:p>
        <a:p>
          <a:pPr marL="228600" marR="0" indent="-228600" defTabSz="914400" eaLnBrk="1" fontAlgn="auto" latinLnBrk="0" hangingPunct="1">
            <a:lnSpc>
              <a:spcPct val="100000"/>
            </a:lnSpc>
            <a:spcBef>
              <a:spcPts val="0"/>
            </a:spcBef>
            <a:spcAft>
              <a:spcPts val="0"/>
            </a:spcAft>
            <a:buClrTx/>
            <a:buSzTx/>
            <a:buFont typeface="+mj-lt"/>
            <a:buAutoNum type="arabicPeriod"/>
            <a:tabLst/>
            <a:defRPr/>
          </a:pPr>
          <a:endParaRPr lang="en-CA" sz="1100" baseline="0">
            <a:solidFill>
              <a:schemeClr val="dk1"/>
            </a:solidFill>
            <a:effectLst/>
            <a:latin typeface="+mn-lt"/>
            <a:ea typeface="+mn-ea"/>
            <a:cs typeface="+mn-cs"/>
          </a:endParaRPr>
        </a:p>
        <a:p>
          <a:pPr marL="228600" marR="0" indent="-228600" defTabSz="914400" eaLnBrk="1" fontAlgn="auto" latinLnBrk="0" hangingPunct="1">
            <a:lnSpc>
              <a:spcPct val="100000"/>
            </a:lnSpc>
            <a:spcBef>
              <a:spcPts val="0"/>
            </a:spcBef>
            <a:spcAft>
              <a:spcPts val="0"/>
            </a:spcAft>
            <a:buClrTx/>
            <a:buSzTx/>
            <a:buFont typeface="+mj-lt"/>
            <a:buAutoNum type="arabicPeriod"/>
            <a:tabLst/>
            <a:defRPr/>
          </a:pPr>
          <a:r>
            <a:rPr lang="en-CA" sz="1100" baseline="0">
              <a:solidFill>
                <a:schemeClr val="dk1"/>
              </a:solidFill>
              <a:effectLst/>
              <a:latin typeface="+mn-lt"/>
              <a:ea typeface="+mn-ea"/>
              <a:cs typeface="+mn-cs"/>
            </a:rPr>
            <a:t>Describe any additional benefits</a:t>
          </a:r>
        </a:p>
        <a:p>
          <a:pPr marL="228600" marR="0" indent="-228600" defTabSz="914400" eaLnBrk="1" fontAlgn="auto" latinLnBrk="0" hangingPunct="1">
            <a:lnSpc>
              <a:spcPct val="100000"/>
            </a:lnSpc>
            <a:spcBef>
              <a:spcPts val="0"/>
            </a:spcBef>
            <a:spcAft>
              <a:spcPts val="0"/>
            </a:spcAft>
            <a:buClrTx/>
            <a:buSzTx/>
            <a:buFont typeface="+mj-lt"/>
            <a:buAutoNum type="arabicPeriod"/>
            <a:tabLst/>
            <a:defRPr/>
          </a:pPr>
          <a:endParaRPr lang="en-CA" sz="1100" baseline="0">
            <a:solidFill>
              <a:schemeClr val="dk1"/>
            </a:solidFill>
            <a:effectLst/>
            <a:latin typeface="+mn-lt"/>
            <a:ea typeface="+mn-ea"/>
            <a:cs typeface="+mn-cs"/>
          </a:endParaRPr>
        </a:p>
        <a:p>
          <a:pPr marL="228600" marR="0" indent="-228600" defTabSz="914400" eaLnBrk="1" fontAlgn="auto" latinLnBrk="0" hangingPunct="1">
            <a:lnSpc>
              <a:spcPct val="100000"/>
            </a:lnSpc>
            <a:spcBef>
              <a:spcPts val="0"/>
            </a:spcBef>
            <a:spcAft>
              <a:spcPts val="0"/>
            </a:spcAft>
            <a:buClrTx/>
            <a:buSzTx/>
            <a:buFont typeface="+mj-lt"/>
            <a:buAutoNum type="arabicPeriod"/>
            <a:tabLst/>
            <a:defRPr/>
          </a:pPr>
          <a:endParaRPr lang="en-CA" sz="1100" baseline="0">
            <a:solidFill>
              <a:schemeClr val="dk1"/>
            </a:solidFill>
            <a:effectLst/>
            <a:latin typeface="+mn-lt"/>
            <a:ea typeface="+mn-ea"/>
            <a:cs typeface="+mn-cs"/>
          </a:endParaRPr>
        </a:p>
        <a:p>
          <a:pPr marL="0" lvl="0" indent="0">
            <a:buFontTx/>
            <a:buNone/>
          </a:pPr>
          <a:r>
            <a:rPr lang="en-CA" sz="1100" i="1" baseline="0">
              <a:solidFill>
                <a:schemeClr val="dk1"/>
              </a:solidFill>
              <a:effectLst/>
              <a:latin typeface="+mn-lt"/>
              <a:ea typeface="+mn-ea"/>
              <a:cs typeface="+mn-cs"/>
            </a:rPr>
            <a:t>GHG conversions are based on the BC Best Practices Methodology for Quantifying GHG Emissions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938645</xdr:colOff>
      <xdr:row>80</xdr:row>
      <xdr:rowOff>107373</xdr:rowOff>
    </xdr:from>
    <xdr:to>
      <xdr:col>19</xdr:col>
      <xdr:colOff>715488</xdr:colOff>
      <xdr:row>86</xdr:row>
      <xdr:rowOff>96116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49845" y="14861598"/>
          <a:ext cx="4648200" cy="9602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9524</xdr:colOff>
      <xdr:row>33</xdr:row>
      <xdr:rowOff>57149</xdr:rowOff>
    </xdr:from>
    <xdr:to>
      <xdr:col>15</xdr:col>
      <xdr:colOff>0</xdr:colOff>
      <xdr:row>38</xdr:row>
      <xdr:rowOff>104775</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200024" y="7372349"/>
          <a:ext cx="7134226" cy="971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000">
              <a:effectLst/>
              <a:latin typeface="Arial" panose="020B0604020202020204" pitchFamily="34" charset="0"/>
              <a:ea typeface="Calibri"/>
              <a:cs typeface="Arial" panose="020B0604020202020204" pitchFamily="34" charset="0"/>
            </a:rPr>
            <a:t>I, the undersigned, declare:</a:t>
          </a:r>
          <a:endParaRPr lang="en-CA" sz="1000">
            <a:effectLst/>
            <a:latin typeface="Arial" panose="020B0604020202020204" pitchFamily="34" charset="0"/>
            <a:ea typeface="Calibri"/>
            <a:cs typeface="Arial" panose="020B0604020202020204" pitchFamily="34" charset="0"/>
          </a:endParaRPr>
        </a:p>
        <a:p>
          <a:pPr marL="342900" marR="0" lvl="0" indent="-342900">
            <a:spcBef>
              <a:spcPts val="0"/>
            </a:spcBef>
            <a:spcAft>
              <a:spcPts val="0"/>
            </a:spcAft>
            <a:buFont typeface="Symbol"/>
            <a:buChar char=""/>
          </a:pPr>
          <a:r>
            <a:rPr lang="en-US" sz="1000">
              <a:effectLst/>
              <a:latin typeface="Arial" panose="020B0604020202020204" pitchFamily="34" charset="0"/>
              <a:ea typeface="Calibri"/>
              <a:cs typeface="Arial" panose="020B0604020202020204" pitchFamily="34" charset="0"/>
            </a:rPr>
            <a:t>that I am the owner, or a duly authorized representative of the owner, of the building described here above;</a:t>
          </a:r>
          <a:endParaRPr lang="en-CA" sz="1000">
            <a:effectLst/>
            <a:latin typeface="Arial" panose="020B0604020202020204" pitchFamily="34" charset="0"/>
            <a:ea typeface="Calibri"/>
            <a:cs typeface="Arial" panose="020B0604020202020204" pitchFamily="34" charset="0"/>
          </a:endParaRPr>
        </a:p>
        <a:p>
          <a:pPr marL="342900" marR="0" lvl="0" indent="-342900">
            <a:spcBef>
              <a:spcPts val="0"/>
            </a:spcBef>
            <a:spcAft>
              <a:spcPts val="0"/>
            </a:spcAft>
            <a:buFont typeface="Symbol"/>
            <a:buChar char=""/>
          </a:pPr>
          <a:r>
            <a:rPr lang="en-US" sz="1000">
              <a:effectLst/>
              <a:latin typeface="Arial" panose="020B0604020202020204" pitchFamily="34" charset="0"/>
              <a:ea typeface="Calibri"/>
              <a:cs typeface="Arial" panose="020B0604020202020204" pitchFamily="34" charset="0"/>
            </a:rPr>
            <a:t>that the information in this document, along with the supporting evidence, is accurate and complete;</a:t>
          </a:r>
          <a:endParaRPr lang="en-CA" sz="1000">
            <a:effectLst/>
            <a:latin typeface="Arial" panose="020B0604020202020204" pitchFamily="34" charset="0"/>
            <a:ea typeface="Calibri"/>
            <a:cs typeface="Arial" panose="020B0604020202020204" pitchFamily="34" charset="0"/>
          </a:endParaRPr>
        </a:p>
        <a:p>
          <a:pPr marL="342900" marR="0" lvl="0" indent="-342900">
            <a:spcBef>
              <a:spcPts val="0"/>
            </a:spcBef>
            <a:spcAft>
              <a:spcPts val="0"/>
            </a:spcAft>
            <a:buFont typeface="Symbol"/>
            <a:buChar char=""/>
          </a:pPr>
          <a:r>
            <a:rPr lang="en-US" sz="1000">
              <a:effectLst/>
              <a:latin typeface="Arial" panose="020B0604020202020204" pitchFamily="34" charset="0"/>
              <a:ea typeface="Calibri"/>
              <a:cs typeface="Arial" panose="020B0604020202020204" pitchFamily="34" charset="0"/>
            </a:rPr>
            <a:t>that all the electrification</a:t>
          </a:r>
          <a:r>
            <a:rPr lang="en-US" sz="1000" baseline="0">
              <a:effectLst/>
              <a:latin typeface="Arial" panose="020B0604020202020204" pitchFamily="34" charset="0"/>
              <a:ea typeface="Calibri"/>
              <a:cs typeface="Arial" panose="020B0604020202020204" pitchFamily="34" charset="0"/>
            </a:rPr>
            <a:t> </a:t>
          </a:r>
          <a:r>
            <a:rPr lang="en-US" sz="1000">
              <a:effectLst/>
              <a:latin typeface="Arial" panose="020B0604020202020204" pitchFamily="34" charset="0"/>
              <a:ea typeface="Calibri"/>
              <a:cs typeface="Arial" panose="020B0604020202020204" pitchFamily="34" charset="0"/>
            </a:rPr>
            <a:t>measures are installed and implemented as described in Table 1 as of the Project Implementation Date indicated below.</a:t>
          </a:r>
          <a:endParaRPr lang="en-CA" sz="1000">
            <a:effectLst/>
            <a:latin typeface="Arial" panose="020B0604020202020204" pitchFamily="34" charset="0"/>
            <a:ea typeface="Calibri"/>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12</xdr:col>
          <xdr:colOff>295275</xdr:colOff>
          <xdr:row>21</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C00-00000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xdr:row>
          <xdr:rowOff>0</xdr:rowOff>
        </xdr:from>
        <xdr:to>
          <xdr:col>13</xdr:col>
          <xdr:colOff>295275</xdr:colOff>
          <xdr:row>21</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C00-00000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20</xdr:row>
          <xdr:rowOff>0</xdr:rowOff>
        </xdr:from>
        <xdr:to>
          <xdr:col>14</xdr:col>
          <xdr:colOff>514350</xdr:colOff>
          <xdr:row>21</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C00-00000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12</xdr:col>
          <xdr:colOff>295275</xdr:colOff>
          <xdr:row>22</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C00-00000C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0</xdr:rowOff>
        </xdr:from>
        <xdr:to>
          <xdr:col>13</xdr:col>
          <xdr:colOff>295275</xdr:colOff>
          <xdr:row>22</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C00-00000D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21</xdr:row>
          <xdr:rowOff>0</xdr:rowOff>
        </xdr:from>
        <xdr:to>
          <xdr:col>14</xdr:col>
          <xdr:colOff>514350</xdr:colOff>
          <xdr:row>22</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C00-00000E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295275</xdr:colOff>
          <xdr:row>23</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C00-00000F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0</xdr:rowOff>
        </xdr:from>
        <xdr:to>
          <xdr:col>13</xdr:col>
          <xdr:colOff>295275</xdr:colOff>
          <xdr:row>23</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C00-000010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22</xdr:row>
          <xdr:rowOff>0</xdr:rowOff>
        </xdr:from>
        <xdr:to>
          <xdr:col>14</xdr:col>
          <xdr:colOff>514350</xdr:colOff>
          <xdr:row>23</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C00-00001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0</xdr:rowOff>
        </xdr:from>
        <xdr:to>
          <xdr:col>12</xdr:col>
          <xdr:colOff>295275</xdr:colOff>
          <xdr:row>24</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C00-00001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13</xdr:col>
          <xdr:colOff>295275</xdr:colOff>
          <xdr:row>24</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C00-00001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23</xdr:row>
          <xdr:rowOff>0</xdr:rowOff>
        </xdr:from>
        <xdr:to>
          <xdr:col>14</xdr:col>
          <xdr:colOff>514350</xdr:colOff>
          <xdr:row>24</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C00-000014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0</xdr:rowOff>
        </xdr:from>
        <xdr:to>
          <xdr:col>12</xdr:col>
          <xdr:colOff>295275</xdr:colOff>
          <xdr:row>25</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C00-000015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13</xdr:col>
          <xdr:colOff>295275</xdr:colOff>
          <xdr:row>25</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C00-00001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24</xdr:row>
          <xdr:rowOff>0</xdr:rowOff>
        </xdr:from>
        <xdr:to>
          <xdr:col>14</xdr:col>
          <xdr:colOff>514350</xdr:colOff>
          <xdr:row>25</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C00-00001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152400</xdr:colOff>
          <xdr:row>19</xdr:row>
          <xdr:rowOff>95250</xdr:rowOff>
        </xdr:from>
        <xdr:to>
          <xdr:col>14</xdr:col>
          <xdr:colOff>400050</xdr:colOff>
          <xdr:row>20</xdr:row>
          <xdr:rowOff>95250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D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9525</xdr:rowOff>
        </xdr:from>
        <xdr:to>
          <xdr:col>8</xdr:col>
          <xdr:colOff>304800</xdr:colOff>
          <xdr:row>23</xdr:row>
          <xdr:rowOff>76200</xdr:rowOff>
        </xdr:to>
        <xdr:sp macro="" textlink="">
          <xdr:nvSpPr>
            <xdr:cNvPr id="5122" name="Group Box 2" hidden="1">
              <a:extLst>
                <a:ext uri="{63B3BB69-23CF-44E3-9099-C40C66FF867C}">
                  <a14:compatExt spid="_x0000_s5122"/>
                </a:ext>
                <a:ext uri="{FF2B5EF4-FFF2-40B4-BE49-F238E27FC236}">
                  <a16:creationId xmlns:a16="http://schemas.microsoft.com/office/drawing/2014/main" id="{00000000-0008-0000-0D00-00000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30</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hydroshare/Users/smahdi/AppData/Local/Microsoft/Windows/Temporary%20Internet%20Files/Content.Outlook/Y4K5R03N/xRM%20inputs%20required%20for%20LCE%20-%20Rev.4%20rp201802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RM Fields"/>
      <sheetName val="Fuel Types"/>
      <sheetName val="LCE Measures"/>
    </sheetNames>
    <sheetDataSet>
      <sheetData sheetId="0" refreshError="1"/>
      <sheetData sheetId="1" refreshError="1"/>
      <sheetData sheetId="2" refreshError="1"/>
    </sheetDataSet>
  </externalBook>
</externalLink>
</file>

<file path=xl/persons/person.xml><?xml version="1.0" encoding="utf-8"?>
<personList xmlns="http://schemas.microsoft.com/office/spreadsheetml/2018/threadedcomments" xmlns:x="http://schemas.openxmlformats.org/spreadsheetml/2006/main">
  <person displayName="Mahdi, Salah" id="{40DDF373-CBF2-4FE6-8804-84204B73B119}" userId="S::Salah.Mahdi@bchydro.com::d5489bc1-27da-4ee9-8dff-972c4a52ed9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18" displayName="Table18" ref="A1:AL49" totalsRowShown="0" dataDxfId="69">
  <tableColumns count="38">
    <tableColumn id="1" xr3:uid="{00000000-0010-0000-0000-000001000000}" name="Industrial Studies" dataDxfId="68"/>
    <tableColumn id="4" xr3:uid="{00000000-0010-0000-0000-000004000000}" name="Commercial Studies" dataDxfId="67"/>
    <tableColumn id="2" xr3:uid="{00000000-0010-0000-0000-000002000000}" name="Site Type" dataDxfId="66"/>
    <tableColumn id="3" xr3:uid="{00000000-0010-0000-0000-000003000000}" name="Sector Category" dataDxfId="65"/>
    <tableColumn id="5" xr3:uid="{00000000-0010-0000-0000-000005000000}" name="IndEU" dataDxfId="64"/>
    <tableColumn id="8" xr3:uid="{00000000-0010-0000-0000-000008000000}" name="CommEU" dataDxfId="63"/>
    <tableColumn id="9" xr3:uid="{00000000-0010-0000-0000-000009000000}" name="LightEU" dataDxfId="62"/>
    <tableColumn id="6" xr3:uid="{00000000-0010-0000-0000-000006000000}" name="Roles" dataDxfId="61"/>
    <tableColumn id="33" xr3:uid="{00000000-0010-0000-0000-000021000000}" name="Role$" dataDxfId="60" dataCellStyle="Normal 2"/>
    <tableColumn id="7" xr3:uid="{00000000-0010-0000-0000-000007000000}" name="IndExpertise" dataDxfId="59"/>
    <tableColumn id="11" xr3:uid="{00000000-0010-0000-0000-00000B000000}" name="CommExpertise" dataDxfId="58"/>
    <tableColumn id="13" xr3:uid="{00000000-0010-0000-0000-00000D000000}" name="LightExpertise" dataDxfId="57"/>
    <tableColumn id="10" xr3:uid="{00000000-0010-0000-0000-00000A000000}" name="Documents" dataDxfId="56"/>
    <tableColumn id="12" xr3:uid="{00000000-0010-0000-0000-00000C000000}" name="Industrial End Uses" dataDxfId="55"/>
    <tableColumn id="21" xr3:uid="{00000000-0010-0000-0000-000015000000}" name="Industrial Measures" dataDxfId="54" dataCellStyle="Normal 2"/>
    <tableColumn id="19" xr3:uid="{00000000-0010-0000-0000-000013000000}" name="Commercial End Uses" dataDxfId="53" dataCellStyle="Normal 2"/>
    <tableColumn id="24" xr3:uid="{00000000-0010-0000-0000-000018000000}" name="HVAC" dataDxfId="52" dataCellStyle="Normal 2"/>
    <tableColumn id="34" xr3:uid="{00000000-0010-0000-0000-000022000000}" name="HVAC Persistence" dataDxfId="51" dataCellStyle="Normal 2 5"/>
    <tableColumn id="20" xr3:uid="{00000000-0010-0000-0000-000014000000}" name="DHW" dataDxfId="50" dataCellStyle="Normal 2"/>
    <tableColumn id="35" xr3:uid="{00000000-0010-0000-0000-000023000000}" name="DHW Persistence" dataDxfId="49" dataCellStyle="Normal 2"/>
    <tableColumn id="37" xr3:uid="{C69E9CBB-5D36-46CC-B15E-4195A18EF2D7}" name="HVACandDHW" dataDxfId="48" dataCellStyle="Normal 2"/>
    <tableColumn id="38" xr3:uid="{02DAC03F-38AC-42D6-8690-115B9FF2EE3A}" name="H/D Persistence" dataDxfId="47" dataCellStyle="Normal 2"/>
    <tableColumn id="17" xr3:uid="{00000000-0010-0000-0000-000011000000}" name="LCE Measures" dataDxfId="46"/>
    <tableColumn id="14" xr3:uid="{00000000-0010-0000-0000-00000E000000}" name="Fuel Types" dataDxfId="45"/>
    <tableColumn id="16" xr3:uid="{00000000-0010-0000-0000-000010000000}" name="Transport" dataDxfId="44"/>
    <tableColumn id="18" xr3:uid="{00000000-0010-0000-0000-000012000000}" name="TransportFuelType" dataDxfId="43"/>
    <tableColumn id="23" xr3:uid="{00000000-0010-0000-0000-000017000000}" name="Transport Measures" dataDxfId="42" dataCellStyle="Normal 2"/>
    <tableColumn id="25" xr3:uid="{00000000-0010-0000-0000-000019000000}" name="Expense Type" dataDxfId="41"/>
    <tableColumn id="15" xr3:uid="{00000000-0010-0000-0000-00000F000000}" name="Exp1" dataDxfId="40" dataCellStyle="Normal 2"/>
    <tableColumn id="30" xr3:uid="{00000000-0010-0000-0000-00001E000000}" name="Exp2" dataDxfId="39" dataCellStyle="Normal 2"/>
    <tableColumn id="31" xr3:uid="{00000000-0010-0000-0000-00001F000000}" name="Exp3" dataDxfId="38" dataCellStyle="Normal 2"/>
    <tableColumn id="32" xr3:uid="{00000000-0010-0000-0000-000020000000}" name="Exp4" dataDxfId="37" dataCellStyle="Normal 2"/>
    <tableColumn id="26" xr3:uid="{00000000-0010-0000-0000-00001A000000}" name="$/exp" dataDxfId="36"/>
    <tableColumn id="29" xr3:uid="{00000000-0010-0000-0000-00001D000000}" name="R$/kW" dataDxfId="35" dataCellStyle="Normal 2"/>
    <tableColumn id="22" xr3:uid="{00000000-0010-0000-0000-000016000000}" name="Rate" dataDxfId="34"/>
    <tableColumn id="27" xr3:uid="{00000000-0010-0000-0000-00001B000000}" name="$/KWh" dataDxfId="33"/>
    <tableColumn id="28" xr3:uid="{00000000-0010-0000-0000-00001C000000}" name="$/kW" dataDxfId="32"/>
    <tableColumn id="36" xr3:uid="{00000000-0010-0000-0000-000024000000}" name="Building type" dataDxfId="3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Table139" displayName="Table139" ref="BA3:BJ19" totalsRowShown="0">
  <autoFilter ref="BA3:BJ19" xr:uid="{00000000-0009-0000-0100-000008000000}"/>
  <tableColumns count="10">
    <tableColumn id="1" xr3:uid="{00000000-0010-0000-0100-000001000000}" name="Fuel Type"/>
    <tableColumn id="10" xr3:uid="{00000000-0010-0000-0100-00000A000000}" name="Flat Rate $/unit" dataDxfId="30" dataCellStyle="Normal 2"/>
    <tableColumn id="9" xr3:uid="{00000000-0010-0000-0100-000009000000}" name="Density (kg/unit)"/>
    <tableColumn id="2" xr3:uid="{00000000-0010-0000-0100-000002000000}" name="Energy Density GJ/unit" dataDxfId="29"/>
    <tableColumn id="3" xr3:uid="{00000000-0010-0000-0100-000003000000}" name="Unit" dataDxfId="28"/>
    <tableColumn id="4" xr3:uid="{00000000-0010-0000-0100-000004000000}" name="Bio CO2"/>
    <tableColumn id="5" xr3:uid="{00000000-0010-0000-0100-000005000000}" name="CO2" dataDxfId="27"/>
    <tableColumn id="6" xr3:uid="{00000000-0010-0000-0100-000006000000}" name="CH4" dataDxfId="26"/>
    <tableColumn id="7" xr3:uid="{00000000-0010-0000-0100-000007000000}" name="N2O" dataDxfId="25"/>
    <tableColumn id="8" xr3:uid="{00000000-0010-0000-0100-000008000000}" name="CO2e" dataDxfId="24"/>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le13410" displayName="Table13410" ref="BL2:BR15" totalsRowShown="0">
  <autoFilter ref="BL2:BR15" xr:uid="{00000000-0009-0000-0100-000009000000}"/>
  <tableColumns count="7">
    <tableColumn id="1" xr3:uid="{00000000-0010-0000-0200-000001000000}" name="Fuel Type"/>
    <tableColumn id="3" xr3:uid="{00000000-0010-0000-0200-000003000000}" name="Unit" dataDxfId="23"/>
    <tableColumn id="4" xr3:uid="{00000000-0010-0000-0200-000004000000}" name="Bio CO2" dataDxfId="22"/>
    <tableColumn id="5" xr3:uid="{00000000-0010-0000-0200-000005000000}" name="CO2" dataDxfId="21"/>
    <tableColumn id="6" xr3:uid="{00000000-0010-0000-0200-000006000000}" name="CH4" dataDxfId="20"/>
    <tableColumn id="7" xr3:uid="{00000000-0010-0000-0200-000007000000}" name="N2O" dataDxfId="19"/>
    <tableColumn id="8" xr3:uid="{00000000-0010-0000-0200-000008000000}" name="CO2e" dataDxfId="1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Table134511" displayName="Table134511" ref="BU2:BW19" totalsRowShown="0">
  <autoFilter ref="BU2:BW19" xr:uid="{00000000-0009-0000-0100-00000A000000}"/>
  <tableColumns count="3">
    <tableColumn id="1" xr3:uid="{00000000-0010-0000-0300-000001000000}" name="Public Utility"/>
    <tableColumn id="3" xr3:uid="{00000000-0010-0000-0300-000003000000}" name="tCO2e/GWh" dataDxfId="17"/>
    <tableColumn id="4" xr3:uid="{00000000-0010-0000-0300-000004000000}" name="kgCO2e/GJ" dataDxfId="16"/>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4000000}" name="Table512" displayName="Table512" ref="AW3:AX4" totalsRowShown="0">
  <tableColumns count="2">
    <tableColumn id="1" xr3:uid="{00000000-0010-0000-0400-000001000000}" name="Unit"/>
    <tableColumn id="2" xr3:uid="{00000000-0010-0000-0400-000002000000}" name="kWhe"/>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613" displayName="Table613" ref="BZ2:CJ23" totalsRowShown="0">
  <autoFilter ref="BZ2:CJ23" xr:uid="{00000000-0009-0000-0100-00000C000000}"/>
  <tableColumns count="11">
    <tableColumn id="1" xr3:uid="{00000000-0010-0000-0500-000001000000}" name="Transport Mode"/>
    <tableColumn id="2" xr3:uid="{00000000-0010-0000-0500-000002000000}" name="Fuel Type" dataDxfId="15"/>
    <tableColumn id="8" xr3:uid="{00000000-0010-0000-0500-000008000000}" name="Units" dataDxfId="14"/>
    <tableColumn id="3" xr3:uid="{00000000-0010-0000-0500-000003000000}" name="Bio CO2" dataDxfId="13"/>
    <tableColumn id="4" xr3:uid="{00000000-0010-0000-0500-000004000000}" name="CO2" dataDxfId="12"/>
    <tableColumn id="5" xr3:uid="{00000000-0010-0000-0500-000005000000}" name="CH4" dataDxfId="11"/>
    <tableColumn id="6" xr3:uid="{00000000-0010-0000-0500-000006000000}" name="N2O" dataDxfId="10"/>
    <tableColumn id="7" xr3:uid="{00000000-0010-0000-0500-000007000000}" name="CO2e" dataDxfId="9"/>
    <tableColumn id="10" xr3:uid="{00000000-0010-0000-0500-00000A000000}" name="FuelUnit" dataDxfId="8">
      <calculatedColumnFormula>Table613[[#This Row],[Fuel Type]]&amp;" ("&amp;MID(Table613[[#This Row],[Units]],4,2)&amp;")"</calculatedColumnFormula>
    </tableColumn>
    <tableColumn id="9" xr3:uid="{00000000-0010-0000-0500-000009000000}" name="Combo" dataDxfId="7">
      <calculatedColumnFormula>Table613[[#This Row],[Transport Mode]]&amp;Table613[[#This Row],[Fuel Type]]&amp;" ("&amp;MID(Table613[[#This Row],[Units]],4,2)&amp;")"</calculatedColumnFormula>
    </tableColumn>
    <tableColumn id="11" xr3:uid="{00000000-0010-0000-0500-00000B000000}" name="Energy Density kWh/unit" dataDxfId="6"/>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7" displayName="Table7" ref="CM2:CT6" totalsRowShown="0">
  <autoFilter ref="CM2:CT6" xr:uid="{00000000-0009-0000-0100-00000D000000}"/>
  <tableColumns count="8">
    <tableColumn id="1" xr3:uid="{00000000-0010-0000-0600-000001000000}" name="Light Duty Vehicle"/>
    <tableColumn id="2" xr3:uid="{00000000-0010-0000-0600-000002000000}" name="Light Duty Truck (SUV and Minivan)"/>
    <tableColumn id="3" xr3:uid="{00000000-0010-0000-0600-000003000000}" name="Heavy-duty"/>
    <tableColumn id="4" xr3:uid="{00000000-0010-0000-0600-000004000000}" name="Motorcycle"/>
    <tableColumn id="5" xr3:uid="{00000000-0010-0000-0600-000005000000}" name="Off-Road (Vehicle/Equipment)"/>
    <tableColumn id="6" xr3:uid="{00000000-0010-0000-0600-000006000000}" name="Marine"/>
    <tableColumn id="7" xr3:uid="{00000000-0010-0000-0600-000007000000}" name="Aviation"/>
    <tableColumn id="8" xr3:uid="{00000000-0010-0000-0600-000008000000}" name="Various"/>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7000000}" name="Table1" displayName="Table1" ref="DB1:DD26" totalsRowShown="0">
  <autoFilter ref="DB1:DD26" xr:uid="{00000000-0009-0000-0100-000001000000}"/>
  <tableColumns count="3">
    <tableColumn id="1" xr3:uid="{00000000-0010-0000-0700-000001000000}" name="End Use" dataDxfId="5" dataCellStyle="Normal 2"/>
    <tableColumn id="2" xr3:uid="{00000000-0010-0000-0700-000002000000}" name="LCE Measure" dataDxfId="4" dataCellStyle="Normal 2"/>
    <tableColumn id="3" xr3:uid="{00000000-0010-0000-0700-000003000000}" name="Persistence" dataDxfId="3" dataCellStyle="Normal 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J2" dT="2021-09-22T17:49:14.47" personId="{40DDF373-CBF2-4FE6-8804-84204B73B119}" id="{702B27F8-4A70-40FD-9A37-11EDDCA36E4F}">
    <text>https://app.bchydro.com/accounts-billing/rates-energy-use/electricity-rates/business-rates.html#lgs</text>
  </threadedComment>
  <threadedComment ref="AK2" dT="2021-09-22T17:49:41.74" personId="{40DDF373-CBF2-4FE6-8804-84204B73B119}" id="{CD430C96-ED80-44A9-B7FA-013D243235F1}">
    <text>https://app.bchydro.com/accounts-billing/rates-energy-use/electricity-rates/business-rates.html#lgs</text>
  </threadedComment>
  <threadedComment ref="AJ3" dT="2021-09-22T17:52:03.58" personId="{40DDF373-CBF2-4FE6-8804-84204B73B119}" id="{DF5A225D-8E02-47E1-A141-A87820B39ECA}">
    <text>https://app.bchydro.com/accounts-billing/rates-energy-use/electricity-rates/business-rates.html#lgs</text>
  </threadedComment>
  <threadedComment ref="AK3" dT="2021-09-22T17:52:12.55" personId="{40DDF373-CBF2-4FE6-8804-84204B73B119}" id="{97025C45-251F-4104-BB5B-1F88A55E7542}">
    <text>https://app.bchydro.com/accounts-billing/rates-energy-use/electricity-rates/business-rates.html#lgs</text>
  </threadedComment>
  <threadedComment ref="AJ4" dT="2021-09-22T17:52:08.41" personId="{40DDF373-CBF2-4FE6-8804-84204B73B119}" id="{C6E2DF0F-680D-4DF2-8EAF-24C14A13BE27}">
    <text>https://app.bchydro.com/accounts-billing/rates-energy-use/electricity-rates/business-rates.html#lgs</text>
  </threadedComment>
  <threadedComment ref="AJ5" dT="2021-09-22T17:51:34.04" personId="{40DDF373-CBF2-4FE6-8804-84204B73B119}" id="{C4ED8D4C-EE3A-41B9-92CB-F8AFD94B55B0}">
    <text>https://app.bchydro.com/accounts-billing/rates-energy-use/electricity-rates/transmission_rate.html</text>
  </threadedComment>
  <threadedComment ref="AK5" dT="2021-09-22T17:51:51.90" personId="{40DDF373-CBF2-4FE6-8804-84204B73B119}" id="{83F86D18-977F-4177-94D1-60B2B3EA4630}">
    <text>https://app.bchydro.com/accounts-billing/rates-energy-use/electricity-rates/transmission_rate.html</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2.gov.bc.ca/assets/gov/environment/climate-change/cng/methodology/2020-pso-methodology.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12" Type="http://schemas.microsoft.com/office/2017/10/relationships/threadedComment" Target="../threadedComments/threadedComment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6" Type="http://schemas.openxmlformats.org/officeDocument/2006/relationships/table" Target="../tables/table4.xml"/><Relationship Id="rId11" Type="http://schemas.openxmlformats.org/officeDocument/2006/relationships/comments" Target="../comments1.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7.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3.xml"/><Relationship Id="rId16" Type="http://schemas.openxmlformats.org/officeDocument/2006/relationships/ctrlProp" Target="../ctrlProps/ctrlProp12.xml"/><Relationship Id="rId1" Type="http://schemas.openxmlformats.org/officeDocument/2006/relationships/printerSettings" Target="../printerSettings/printerSettings9.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8.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pageSetUpPr fitToPage="1"/>
  </sheetPr>
  <dimension ref="A1:L99"/>
  <sheetViews>
    <sheetView showGridLines="0" tabSelected="1" zoomScaleNormal="100" workbookViewId="0"/>
  </sheetViews>
  <sheetFormatPr defaultColWidth="0" defaultRowHeight="12.75" zeroHeight="1" x14ac:dyDescent="0.2"/>
  <cols>
    <col min="1" max="2" width="8.85546875" style="2" customWidth="1"/>
    <col min="3" max="3" width="15.140625" style="2" customWidth="1"/>
    <col min="4" max="4" width="3.85546875" style="2" customWidth="1"/>
    <col min="5" max="5" width="13.42578125" style="2" customWidth="1"/>
    <col min="6" max="6" width="8.85546875" style="2" customWidth="1"/>
    <col min="7" max="7" width="15.42578125" style="2" customWidth="1"/>
    <col min="8" max="8" width="4" style="3" customWidth="1"/>
    <col min="9" max="9" width="14.7109375" style="2" customWidth="1"/>
    <col min="10" max="10" width="8.85546875" style="2" customWidth="1"/>
    <col min="11" max="12" width="0" style="2" hidden="1" customWidth="1"/>
    <col min="13" max="16384" width="8.85546875" style="2" hidden="1"/>
  </cols>
  <sheetData>
    <row r="1" spans="1:12" x14ac:dyDescent="0.2">
      <c r="A1" s="129"/>
      <c r="B1" s="34"/>
      <c r="F1" s="35"/>
      <c r="H1" s="39"/>
      <c r="I1" s="1"/>
    </row>
    <row r="2" spans="1:12" ht="16.5" x14ac:dyDescent="0.25">
      <c r="A2" s="36"/>
      <c r="B2" s="34"/>
      <c r="F2" s="35"/>
      <c r="H2" s="39"/>
      <c r="I2" s="1"/>
      <c r="J2" s="35"/>
    </row>
    <row r="3" spans="1:12" ht="16.5" x14ac:dyDescent="0.25">
      <c r="A3" s="36"/>
      <c r="B3" s="34"/>
      <c r="F3" s="35"/>
      <c r="H3" s="39"/>
      <c r="I3" s="1"/>
      <c r="J3" s="35"/>
    </row>
    <row r="4" spans="1:12" ht="22.5" customHeight="1" x14ac:dyDescent="0.2">
      <c r="A4" s="452" t="s">
        <v>814</v>
      </c>
      <c r="B4" s="410"/>
      <c r="C4" s="410"/>
      <c r="D4" s="410"/>
      <c r="E4" s="410"/>
      <c r="F4" s="410"/>
      <c r="G4" s="410"/>
      <c r="H4" s="39"/>
      <c r="I4" s="1"/>
      <c r="J4" s="35"/>
    </row>
    <row r="5" spans="1:12" ht="22.5" customHeight="1" thickBot="1" x14ac:dyDescent="0.25">
      <c r="A5" s="504" t="s">
        <v>772</v>
      </c>
      <c r="B5" s="411"/>
      <c r="C5" s="411"/>
      <c r="D5" s="411"/>
      <c r="E5" s="411"/>
      <c r="F5" s="411"/>
      <c r="G5" s="411"/>
      <c r="I5" s="3"/>
      <c r="J5" s="40"/>
    </row>
    <row r="6" spans="1:12" ht="21" thickTop="1" x14ac:dyDescent="0.3">
      <c r="A6" s="37"/>
      <c r="B6" s="37"/>
      <c r="C6" s="37"/>
      <c r="D6" s="37"/>
      <c r="E6" s="37"/>
      <c r="F6" s="37"/>
      <c r="G6" s="38"/>
      <c r="I6" s="3"/>
      <c r="J6" s="40"/>
    </row>
    <row r="7" spans="1:12" ht="20.25" x14ac:dyDescent="0.3">
      <c r="A7" s="37"/>
      <c r="B7" s="37"/>
      <c r="C7" s="37"/>
      <c r="D7" s="37"/>
      <c r="E7" s="37"/>
      <c r="F7" s="37"/>
      <c r="G7" s="38"/>
      <c r="I7" s="3"/>
      <c r="J7" s="40"/>
    </row>
    <row r="8" spans="1:12" ht="20.25" x14ac:dyDescent="0.3">
      <c r="A8" s="41"/>
      <c r="B8" s="41"/>
      <c r="C8" s="41"/>
      <c r="D8" s="41"/>
      <c r="E8" s="41"/>
      <c r="F8" s="41"/>
      <c r="H8" s="39"/>
      <c r="I8" s="42"/>
      <c r="J8" s="40"/>
      <c r="K8" s="40"/>
      <c r="L8" s="40"/>
    </row>
    <row r="9" spans="1:12" x14ac:dyDescent="0.2"/>
    <row r="10" spans="1:12" x14ac:dyDescent="0.2"/>
    <row r="11" spans="1:12" x14ac:dyDescent="0.2"/>
    <row r="12" spans="1:12" x14ac:dyDescent="0.2"/>
    <row r="13" spans="1:12" x14ac:dyDescent="0.2"/>
    <row r="14" spans="1:12" x14ac:dyDescent="0.2"/>
    <row r="15" spans="1:12" x14ac:dyDescent="0.2"/>
    <row r="16" spans="1:1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spans="1:9" ht="14.25" x14ac:dyDescent="0.2">
      <c r="A97" s="722"/>
      <c r="B97" s="724" t="s">
        <v>910</v>
      </c>
      <c r="C97" s="725"/>
      <c r="D97" s="725"/>
      <c r="E97" s="725"/>
      <c r="F97" s="725"/>
      <c r="G97"/>
      <c r="H97" s="726"/>
      <c r="I97"/>
    </row>
    <row r="98" spans="1:9" x14ac:dyDescent="0.2">
      <c r="A98" s="723"/>
      <c r="B98" s="727" t="s">
        <v>911</v>
      </c>
      <c r="C98" s="723"/>
      <c r="D98" s="723"/>
      <c r="E98" s="723"/>
      <c r="F98" s="723"/>
      <c r="G98"/>
      <c r="H98" s="726"/>
      <c r="I98"/>
    </row>
    <row r="99" spans="1:9" x14ac:dyDescent="0.2"/>
  </sheetData>
  <sheetProtection algorithmName="SHA-512" hashValue="l11+3P7/+6Xoy6R+drN0joNlMB3DdMEv4xMhcmRCnJA5U6el16dNOadU0OqFfPlQSlBMTetd0RPpfAtnwEkfgA==" saltValue="OzVYATpzQ4NNnst3r9MFLA==" spinCount="100000" sheet="1" scenarios="1"/>
  <hyperlinks>
    <hyperlink ref="B98" r:id="rId1" xr:uid="{CA813012-1C29-4346-98F7-4C0AC244F6E6}"/>
  </hyperlinks>
  <pageMargins left="0.7" right="0.7" top="0.75" bottom="0.75" header="0.3" footer="0.3"/>
  <pageSetup scale="5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1"/>
    <pageSetUpPr fitToPage="1"/>
  </sheetPr>
  <dimension ref="A1:R205"/>
  <sheetViews>
    <sheetView showGridLines="0" zoomScaleNormal="100" zoomScaleSheetLayoutView="100" zoomScalePageLayoutView="85" workbookViewId="0"/>
  </sheetViews>
  <sheetFormatPr defaultColWidth="0" defaultRowHeight="15" customHeight="1" zeroHeight="1" x14ac:dyDescent="0.2"/>
  <cols>
    <col min="1" max="1" width="2.85546875" style="130" customWidth="1"/>
    <col min="2" max="2" width="3" style="130" customWidth="1"/>
    <col min="3" max="3" width="11.85546875" style="130" customWidth="1"/>
    <col min="4" max="4" width="15.140625" style="130" customWidth="1"/>
    <col min="5" max="5" width="11.85546875" style="130" customWidth="1"/>
    <col min="6" max="6" width="9" style="130" customWidth="1"/>
    <col min="7" max="7" width="17.7109375" style="130" customWidth="1"/>
    <col min="8" max="8" width="13" style="130" customWidth="1"/>
    <col min="9" max="9" width="10.85546875" style="130" customWidth="1"/>
    <col min="10" max="10" width="11.7109375" style="130" customWidth="1"/>
    <col min="11" max="11" width="12.5703125" style="130" customWidth="1"/>
    <col min="12" max="12" width="10.5703125" style="130" customWidth="1"/>
    <col min="13" max="13" width="10.28515625" style="130" customWidth="1"/>
    <col min="14" max="14" width="2.85546875" style="130" customWidth="1"/>
    <col min="15" max="18" width="0" style="130" hidden="1"/>
    <col min="19" max="16384" width="9.140625" style="130" hidden="1"/>
  </cols>
  <sheetData>
    <row r="1" spans="1:13" ht="15" customHeight="1" thickBot="1" x14ac:dyDescent="0.25">
      <c r="B1" s="707"/>
      <c r="C1" s="707" t="s">
        <v>898</v>
      </c>
      <c r="D1" s="707"/>
      <c r="E1" s="707" t="s">
        <v>871</v>
      </c>
    </row>
    <row r="2" spans="1:13" ht="15.75" customHeight="1" x14ac:dyDescent="0.2">
      <c r="B2" s="809" t="s">
        <v>810</v>
      </c>
      <c r="C2" s="809"/>
      <c r="D2" s="809"/>
      <c r="E2" s="809"/>
      <c r="F2" s="809"/>
      <c r="G2" s="809"/>
      <c r="H2" s="809"/>
      <c r="I2" s="809"/>
      <c r="J2" s="809"/>
      <c r="K2" s="809"/>
      <c r="L2" s="806" t="s">
        <v>919</v>
      </c>
      <c r="M2" s="806"/>
    </row>
    <row r="3" spans="1:13" ht="15.75" customHeight="1" x14ac:dyDescent="0.2">
      <c r="B3" s="810"/>
      <c r="C3" s="810"/>
      <c r="D3" s="810"/>
      <c r="E3" s="810"/>
      <c r="F3" s="810"/>
      <c r="G3" s="810"/>
      <c r="H3" s="810"/>
      <c r="I3" s="810"/>
      <c r="J3" s="810"/>
      <c r="K3" s="810"/>
      <c r="L3" s="807"/>
      <c r="M3" s="807"/>
    </row>
    <row r="4" spans="1:13" ht="15.75" customHeight="1" thickBot="1" x14ac:dyDescent="0.25">
      <c r="B4" s="811"/>
      <c r="C4" s="811"/>
      <c r="D4" s="811"/>
      <c r="E4" s="811"/>
      <c r="F4" s="811"/>
      <c r="G4" s="811"/>
      <c r="H4" s="811"/>
      <c r="I4" s="811"/>
      <c r="J4" s="811"/>
      <c r="K4" s="811"/>
      <c r="L4" s="808"/>
      <c r="M4" s="808"/>
    </row>
    <row r="5" spans="1:13" ht="22.5" customHeight="1" x14ac:dyDescent="0.2">
      <c r="B5" s="771" t="s">
        <v>660</v>
      </c>
      <c r="C5" s="771"/>
      <c r="D5" s="771"/>
      <c r="E5" s="771"/>
      <c r="F5" s="771"/>
      <c r="G5" s="771"/>
      <c r="H5" s="771"/>
      <c r="I5" s="771"/>
      <c r="J5" s="771"/>
      <c r="K5" s="771"/>
      <c r="L5" s="771"/>
      <c r="M5" s="771"/>
    </row>
    <row r="6" spans="1:13" ht="15" customHeight="1" x14ac:dyDescent="0.2">
      <c r="D6" s="182" t="s">
        <v>217</v>
      </c>
      <c r="E6" s="466"/>
      <c r="F6" s="131" t="str">
        <f>IF(E6="","Enter 1 if initial version","")</f>
        <v>Enter 1 if initial version</v>
      </c>
      <c r="K6" s="409" t="s">
        <v>4</v>
      </c>
      <c r="L6" s="467"/>
      <c r="M6" s="162" t="str">
        <f>IF(L6="","yyyy-mm-dd","")</f>
        <v>yyyy-mm-dd</v>
      </c>
    </row>
    <row r="7" spans="1:13" ht="22.5" customHeight="1" x14ac:dyDescent="0.2">
      <c r="B7" s="730" t="s">
        <v>218</v>
      </c>
      <c r="C7" s="730"/>
      <c r="D7" s="730"/>
      <c r="E7" s="730"/>
      <c r="F7" s="730"/>
      <c r="G7" s="730"/>
      <c r="H7" s="730"/>
      <c r="I7" s="730"/>
      <c r="J7" s="730"/>
      <c r="K7" s="730"/>
      <c r="L7" s="730"/>
      <c r="M7" s="730"/>
    </row>
    <row r="8" spans="1:13" ht="15" customHeight="1" x14ac:dyDescent="0.2">
      <c r="D8" s="182" t="s">
        <v>905</v>
      </c>
      <c r="E8" s="746"/>
      <c r="F8" s="747"/>
      <c r="G8" s="747"/>
      <c r="H8" s="747"/>
      <c r="I8" s="747"/>
      <c r="J8" s="747"/>
      <c r="K8" s="747"/>
      <c r="L8" s="747"/>
      <c r="M8" s="748"/>
    </row>
    <row r="9" spans="1:13" ht="15" customHeight="1" x14ac:dyDescent="0.2">
      <c r="D9" s="182" t="s">
        <v>907</v>
      </c>
      <c r="E9" s="754"/>
      <c r="F9" s="755"/>
      <c r="G9" s="756"/>
      <c r="H9" s="179" t="s">
        <v>226</v>
      </c>
      <c r="I9" s="746"/>
      <c r="J9" s="748"/>
      <c r="K9" s="179" t="s">
        <v>227</v>
      </c>
      <c r="L9" s="752"/>
      <c r="M9" s="753"/>
    </row>
    <row r="10" spans="1:13" ht="15" customHeight="1" x14ac:dyDescent="0.2">
      <c r="D10" s="465" t="s">
        <v>906</v>
      </c>
      <c r="E10" s="757"/>
      <c r="F10" s="758"/>
      <c r="G10" s="758"/>
      <c r="H10" s="759"/>
      <c r="I10" s="465" t="s">
        <v>221</v>
      </c>
      <c r="J10" s="760"/>
      <c r="K10" s="761"/>
      <c r="L10" s="762"/>
      <c r="M10" s="503"/>
    </row>
    <row r="11" spans="1:13" ht="15" customHeight="1" x14ac:dyDescent="0.2">
      <c r="A11"/>
      <c r="B11"/>
      <c r="C11"/>
      <c r="D11"/>
      <c r="E11"/>
      <c r="F11"/>
      <c r="G11"/>
      <c r="H11"/>
      <c r="I11"/>
      <c r="J11"/>
      <c r="K11"/>
      <c r="L11"/>
      <c r="M11"/>
    </row>
    <row r="12" spans="1:13" ht="22.5" customHeight="1" x14ac:dyDescent="0.2">
      <c r="B12" s="730" t="s">
        <v>863</v>
      </c>
      <c r="C12" s="730"/>
      <c r="D12" s="730"/>
      <c r="E12" s="730"/>
      <c r="F12" s="730"/>
      <c r="G12" s="730"/>
      <c r="H12" s="730"/>
      <c r="I12" s="730"/>
      <c r="J12" s="730"/>
      <c r="K12" s="730"/>
      <c r="L12" s="730"/>
      <c r="M12" s="730"/>
    </row>
    <row r="13" spans="1:13" ht="15" customHeight="1" x14ac:dyDescent="0.2">
      <c r="D13" s="406" t="s">
        <v>764</v>
      </c>
      <c r="E13" s="746"/>
      <c r="F13" s="747"/>
      <c r="G13" s="747"/>
      <c r="H13" s="747"/>
      <c r="I13" s="747"/>
      <c r="J13" s="747"/>
      <c r="K13" s="747"/>
      <c r="L13" s="747"/>
      <c r="M13" s="748"/>
    </row>
    <row r="14" spans="1:13" ht="15" customHeight="1" x14ac:dyDescent="0.2">
      <c r="D14" s="406" t="s">
        <v>765</v>
      </c>
      <c r="E14" s="746"/>
      <c r="F14" s="747"/>
      <c r="G14" s="748"/>
      <c r="H14" s="406" t="s">
        <v>226</v>
      </c>
      <c r="I14" s="746"/>
      <c r="J14" s="748"/>
      <c r="K14" s="406" t="s">
        <v>227</v>
      </c>
      <c r="L14" s="763"/>
      <c r="M14" s="764"/>
    </row>
    <row r="15" spans="1:13" ht="15" customHeight="1" x14ac:dyDescent="0.2">
      <c r="D15" s="407" t="s">
        <v>766</v>
      </c>
      <c r="E15" s="746"/>
      <c r="F15" s="747"/>
      <c r="G15" s="747"/>
      <c r="H15" s="748"/>
      <c r="I15" s="407" t="s">
        <v>221</v>
      </c>
      <c r="J15" s="746"/>
      <c r="K15" s="747"/>
      <c r="L15" s="748"/>
      <c r="M15" s="135"/>
    </row>
    <row r="16" spans="1:13" ht="15" customHeight="1" x14ac:dyDescent="0.2">
      <c r="D16" s="406"/>
      <c r="E16" s="171"/>
      <c r="F16" s="171"/>
      <c r="G16" s="171"/>
      <c r="H16" s="171"/>
      <c r="I16" s="406"/>
      <c r="J16" s="171"/>
      <c r="K16" s="171"/>
      <c r="L16" s="171"/>
      <c r="M16" s="135"/>
    </row>
    <row r="17" spans="2:14" ht="22.5" customHeight="1" x14ac:dyDescent="0.2">
      <c r="B17" s="730" t="s">
        <v>222</v>
      </c>
      <c r="C17" s="730"/>
      <c r="D17" s="730"/>
      <c r="E17" s="730"/>
      <c r="F17" s="730"/>
      <c r="G17" s="730"/>
      <c r="H17" s="730"/>
      <c r="I17" s="730"/>
      <c r="J17" s="730"/>
      <c r="K17" s="730"/>
      <c r="L17" s="730"/>
      <c r="M17" s="730"/>
    </row>
    <row r="18" spans="2:14" ht="15" customHeight="1" x14ac:dyDescent="0.2">
      <c r="D18" s="182" t="s">
        <v>223</v>
      </c>
      <c r="E18" s="749"/>
      <c r="F18" s="750"/>
      <c r="G18" s="750"/>
      <c r="H18" s="750"/>
      <c r="I18" s="750"/>
      <c r="J18" s="750"/>
      <c r="K18" s="750"/>
      <c r="L18" s="750"/>
      <c r="M18" s="751"/>
    </row>
    <row r="19" spans="2:14" ht="15" customHeight="1" x14ac:dyDescent="0.2">
      <c r="D19" s="182" t="s">
        <v>219</v>
      </c>
      <c r="E19" s="746"/>
      <c r="F19" s="747"/>
      <c r="G19" s="747"/>
      <c r="H19" s="747"/>
      <c r="I19" s="747"/>
      <c r="J19" s="747"/>
      <c r="K19" s="747"/>
      <c r="L19" s="747"/>
      <c r="M19" s="748"/>
    </row>
    <row r="20" spans="2:14" ht="15" customHeight="1" x14ac:dyDescent="0.2">
      <c r="D20" s="182" t="s">
        <v>220</v>
      </c>
      <c r="E20" s="746"/>
      <c r="F20" s="747"/>
      <c r="G20" s="747"/>
      <c r="H20" s="748"/>
      <c r="I20" s="182" t="s">
        <v>221</v>
      </c>
      <c r="J20" s="746"/>
      <c r="K20" s="747"/>
      <c r="L20" s="748"/>
    </row>
    <row r="21" spans="2:14" ht="15" customHeight="1" x14ac:dyDescent="0.2">
      <c r="D21" s="132"/>
      <c r="E21" s="133"/>
      <c r="F21" s="134"/>
      <c r="G21" s="134"/>
      <c r="J21" s="182" t="s">
        <v>408</v>
      </c>
      <c r="K21" s="746"/>
      <c r="L21" s="747"/>
      <c r="M21" s="748"/>
    </row>
    <row r="22" spans="2:14" ht="15" customHeight="1" x14ac:dyDescent="0.2">
      <c r="D22" s="132"/>
      <c r="E22" s="133"/>
      <c r="F22" s="134"/>
      <c r="G22" s="134"/>
      <c r="J22" s="182" t="s">
        <v>773</v>
      </c>
      <c r="K22" s="746"/>
      <c r="L22" s="747"/>
      <c r="M22" s="748"/>
    </row>
    <row r="23" spans="2:14" ht="15" customHeight="1" x14ac:dyDescent="0.2">
      <c r="D23" s="132"/>
      <c r="E23" s="133"/>
      <c r="F23" s="134"/>
      <c r="G23" s="134"/>
      <c r="J23" s="182" t="s">
        <v>226</v>
      </c>
      <c r="K23" s="746"/>
      <c r="L23" s="747"/>
      <c r="M23" s="748"/>
    </row>
    <row r="24" spans="2:14" ht="15" customHeight="1" x14ac:dyDescent="0.2">
      <c r="D24" s="132"/>
      <c r="E24" s="133"/>
      <c r="F24" s="134"/>
      <c r="G24" s="134"/>
      <c r="J24" s="182" t="s">
        <v>227</v>
      </c>
      <c r="K24" s="746"/>
      <c r="L24" s="747"/>
      <c r="M24" s="748"/>
    </row>
    <row r="25" spans="2:14" ht="22.5" customHeight="1" x14ac:dyDescent="0.2">
      <c r="B25" s="771" t="s">
        <v>661</v>
      </c>
      <c r="C25" s="771"/>
      <c r="D25" s="771"/>
      <c r="E25" s="771"/>
      <c r="F25" s="771"/>
      <c r="G25" s="771"/>
      <c r="H25" s="771"/>
      <c r="I25" s="771"/>
      <c r="J25" s="771"/>
      <c r="K25" s="771"/>
      <c r="L25" s="771"/>
      <c r="M25" s="771"/>
    </row>
    <row r="26" spans="2:14" ht="22.5" customHeight="1" x14ac:dyDescent="0.2">
      <c r="B26" s="730" t="s">
        <v>662</v>
      </c>
      <c r="C26" s="730"/>
      <c r="D26" s="730"/>
      <c r="E26" s="730"/>
      <c r="F26" s="730"/>
      <c r="G26" s="730"/>
      <c r="H26" s="730"/>
      <c r="I26" s="730"/>
      <c r="J26" s="730"/>
      <c r="K26" s="730"/>
      <c r="L26" s="730"/>
      <c r="M26" s="730"/>
    </row>
    <row r="27" spans="2:14" s="183" customFormat="1" ht="15" customHeight="1" x14ac:dyDescent="0.2">
      <c r="B27" s="742" t="s">
        <v>308</v>
      </c>
      <c r="C27" s="742"/>
      <c r="D27" s="742"/>
      <c r="E27" s="468"/>
      <c r="F27" s="469"/>
      <c r="G27" s="412" t="str">
        <f>IF(F27="","&lt;- Units","")</f>
        <v>&lt;- Units</v>
      </c>
      <c r="H27" s="136"/>
      <c r="I27" s="136"/>
      <c r="J27" s="179" t="s">
        <v>307</v>
      </c>
      <c r="K27" s="468"/>
      <c r="L27" s="469"/>
      <c r="M27" s="412" t="str">
        <f>IF(L27="","&lt;- Units","")</f>
        <v>&lt;- Units</v>
      </c>
      <c r="N27" s="135"/>
    </row>
    <row r="28" spans="2:14" s="183" customFormat="1" ht="15" customHeight="1" x14ac:dyDescent="0.2">
      <c r="B28" s="179"/>
      <c r="C28" s="179"/>
      <c r="D28" s="179"/>
      <c r="E28" s="720" t="str">
        <f>IF(F27="","",IF(E27="","",IF(F27="sq ft",E27/10.76,E27*10.76)))</f>
        <v/>
      </c>
      <c r="F28" s="721" t="str">
        <f>IF(F27="","",IF(E27="","",IF(F27="sq ft","sq m","sq ft")))</f>
        <v/>
      </c>
      <c r="G28" s="134"/>
      <c r="H28" s="136"/>
      <c r="I28" s="136"/>
      <c r="J28" s="136"/>
      <c r="K28" s="720" t="str">
        <f>IF(L27="","",IF(K27="","",IF(L27="sq ft",K27/10.76,K27*10.76)))</f>
        <v/>
      </c>
      <c r="L28" s="721" t="str">
        <f>IF(L27="","",IF(K27="","",IF(L27="sq ft","sq m","sq ft")))</f>
        <v/>
      </c>
      <c r="M28" s="135"/>
      <c r="N28" s="135"/>
    </row>
    <row r="29" spans="2:14" ht="15" customHeight="1" x14ac:dyDescent="0.2">
      <c r="B29" s="137"/>
      <c r="C29" s="133"/>
      <c r="D29" s="150" t="s">
        <v>409</v>
      </c>
      <c r="E29" s="470"/>
      <c r="F29" s="408" t="s">
        <v>419</v>
      </c>
      <c r="G29" s="133"/>
      <c r="H29" s="133"/>
      <c r="I29" s="150" t="s">
        <v>410</v>
      </c>
      <c r="J29" s="784"/>
      <c r="K29" s="747"/>
      <c r="L29" s="748"/>
      <c r="M29" s="133"/>
    </row>
    <row r="30" spans="2:14" ht="15" customHeight="1" x14ac:dyDescent="0.2">
      <c r="B30" s="137"/>
      <c r="C30" s="133"/>
      <c r="D30" s="151" t="s">
        <v>412</v>
      </c>
      <c r="E30" s="470"/>
      <c r="F30" s="408" t="s">
        <v>420</v>
      </c>
      <c r="G30" s="133"/>
      <c r="H30" s="133"/>
      <c r="I30" s="151" t="s">
        <v>411</v>
      </c>
      <c r="J30" s="472"/>
      <c r="K30" s="135"/>
      <c r="L30" s="135"/>
      <c r="M30" s="133"/>
    </row>
    <row r="31" spans="2:14" ht="15" customHeight="1" x14ac:dyDescent="0.2">
      <c r="B31" s="137"/>
      <c r="C31" s="133"/>
      <c r="D31" s="151" t="s">
        <v>414</v>
      </c>
      <c r="E31" s="471"/>
      <c r="F31" s="408" t="s">
        <v>421</v>
      </c>
      <c r="G31" s="133"/>
      <c r="H31" s="133"/>
      <c r="I31" s="151" t="s">
        <v>423</v>
      </c>
      <c r="J31" s="472"/>
      <c r="K31" s="135"/>
      <c r="L31" s="135"/>
      <c r="M31" s="133"/>
    </row>
    <row r="32" spans="2:14" ht="15" customHeight="1" x14ac:dyDescent="0.2">
      <c r="B32" s="137"/>
      <c r="C32" s="133"/>
      <c r="D32" s="409" t="s">
        <v>422</v>
      </c>
      <c r="E32" s="470"/>
      <c r="F32" s="133"/>
      <c r="G32" s="133"/>
      <c r="H32" s="133"/>
      <c r="I32" s="409" t="s">
        <v>413</v>
      </c>
      <c r="J32" s="473"/>
      <c r="K32" s="408" t="s">
        <v>8</v>
      </c>
      <c r="L32" s="152"/>
      <c r="M32" s="133"/>
    </row>
    <row r="33" spans="2:13" ht="15" customHeight="1" x14ac:dyDescent="0.2">
      <c r="B33" s="137"/>
      <c r="C33" s="133"/>
      <c r="D33" s="132"/>
      <c r="E33" s="413"/>
      <c r="F33" s="133"/>
      <c r="G33" s="133"/>
      <c r="H33" s="133"/>
      <c r="I33" s="136"/>
      <c r="J33" s="413"/>
      <c r="K33" s="133"/>
      <c r="L33" s="133"/>
      <c r="M33" s="133"/>
    </row>
    <row r="34" spans="2:13" ht="15" customHeight="1" x14ac:dyDescent="0.2">
      <c r="B34" s="177" t="s">
        <v>458</v>
      </c>
      <c r="F34" s="133"/>
      <c r="G34" s="133"/>
      <c r="H34" s="133"/>
      <c r="I34" s="133"/>
      <c r="J34" s="133"/>
      <c r="K34" s="133"/>
      <c r="L34" s="133"/>
      <c r="M34" s="133"/>
    </row>
    <row r="35" spans="2:13" ht="15" customHeight="1" x14ac:dyDescent="0.2">
      <c r="B35" s="772"/>
      <c r="C35" s="773"/>
      <c r="D35" s="773"/>
      <c r="E35" s="773"/>
      <c r="F35" s="773"/>
      <c r="G35" s="774"/>
      <c r="H35" s="138"/>
      <c r="I35" s="138"/>
      <c r="J35" s="138"/>
      <c r="K35" s="153" t="s">
        <v>813</v>
      </c>
      <c r="L35" s="475"/>
      <c r="M35" s="138" t="s">
        <v>8</v>
      </c>
    </row>
    <row r="36" spans="2:13" ht="15" customHeight="1" x14ac:dyDescent="0.2">
      <c r="B36" s="775"/>
      <c r="C36" s="773"/>
      <c r="D36" s="773"/>
      <c r="E36" s="773"/>
      <c r="F36" s="773"/>
      <c r="G36" s="774"/>
      <c r="H36" s="138"/>
      <c r="I36" s="138"/>
      <c r="J36" s="138"/>
      <c r="K36" s="138"/>
      <c r="L36" s="138"/>
      <c r="M36" s="138"/>
    </row>
    <row r="37" spans="2:13" ht="15" customHeight="1" x14ac:dyDescent="0.2">
      <c r="B37" s="184"/>
      <c r="C37" s="184"/>
      <c r="D37" s="184"/>
      <c r="E37" s="184"/>
      <c r="F37" s="184"/>
      <c r="G37" s="184"/>
      <c r="H37" s="138"/>
      <c r="I37" s="138"/>
      <c r="J37" s="138"/>
      <c r="K37" s="138"/>
      <c r="L37" s="138"/>
      <c r="M37" s="138"/>
    </row>
    <row r="38" spans="2:13" ht="22.5" customHeight="1" x14ac:dyDescent="0.2">
      <c r="B38" s="730" t="s">
        <v>663</v>
      </c>
      <c r="C38" s="730"/>
      <c r="D38" s="730"/>
      <c r="E38" s="730"/>
      <c r="F38" s="730"/>
      <c r="G38" s="730"/>
      <c r="H38" s="730"/>
      <c r="I38" s="730"/>
      <c r="J38" s="730"/>
      <c r="K38" s="730"/>
      <c r="L38" s="730"/>
      <c r="M38" s="730"/>
    </row>
    <row r="39" spans="2:13" ht="15" customHeight="1" x14ac:dyDescent="0.2">
      <c r="B39" s="786" t="s">
        <v>230</v>
      </c>
      <c r="C39" s="786"/>
      <c r="D39" s="786"/>
      <c r="E39" s="786"/>
      <c r="F39" s="786"/>
      <c r="G39" s="786"/>
      <c r="H39" s="786"/>
      <c r="I39" s="786"/>
      <c r="J39" s="786"/>
      <c r="K39" s="786"/>
      <c r="L39" s="786"/>
      <c r="M39" s="786"/>
    </row>
    <row r="40" spans="2:13" ht="26.25" customHeight="1" x14ac:dyDescent="0.2">
      <c r="B40" s="787" t="s">
        <v>9</v>
      </c>
      <c r="C40" s="787"/>
      <c r="D40" s="787"/>
      <c r="E40" s="788" t="s">
        <v>10</v>
      </c>
      <c r="F40" s="788"/>
      <c r="G40" s="448" t="s">
        <v>5</v>
      </c>
      <c r="H40" s="474" t="s">
        <v>100</v>
      </c>
      <c r="I40" s="732" t="s">
        <v>11</v>
      </c>
      <c r="J40" s="732"/>
      <c r="K40" s="448" t="s">
        <v>12</v>
      </c>
      <c r="L40" s="732" t="s">
        <v>13</v>
      </c>
      <c r="M40" s="732"/>
    </row>
    <row r="41" spans="2:13" ht="15" customHeight="1" x14ac:dyDescent="0.2">
      <c r="B41" s="765" t="s">
        <v>6</v>
      </c>
      <c r="C41" s="765"/>
      <c r="D41" s="766"/>
      <c r="E41" s="779"/>
      <c r="F41" s="780"/>
      <c r="G41" s="174" t="s">
        <v>14</v>
      </c>
      <c r="H41" s="476"/>
      <c r="I41" s="770" t="str">
        <f>IFERROR(E41*INDEX(Table18[$/KWh],MATCH(H41,Table18[Rate],0)),"")</f>
        <v/>
      </c>
      <c r="J41" s="770"/>
      <c r="K41" s="715">
        <f>Variables!BV3</f>
        <v>9.6999999999999993</v>
      </c>
      <c r="L41" s="789">
        <f>K41*E41/1000000</f>
        <v>0</v>
      </c>
      <c r="M41" s="789"/>
    </row>
    <row r="42" spans="2:13" ht="15" customHeight="1" x14ac:dyDescent="0.2">
      <c r="B42" s="767" t="s">
        <v>828</v>
      </c>
      <c r="C42" s="767"/>
      <c r="D42" s="778"/>
      <c r="E42" s="779"/>
      <c r="F42" s="780"/>
      <c r="G42" s="172" t="str">
        <f>IF(H42=7.902, "kVA","kW")</f>
        <v>kW</v>
      </c>
      <c r="H42" s="776"/>
      <c r="I42" s="776"/>
      <c r="J42" s="776"/>
      <c r="K42" s="777"/>
      <c r="L42" s="777"/>
      <c r="M42" s="777"/>
    </row>
    <row r="43" spans="2:13" ht="15" customHeight="1" x14ac:dyDescent="0.2">
      <c r="B43" s="767" t="s">
        <v>827</v>
      </c>
      <c r="C43" s="767"/>
      <c r="D43" s="778"/>
      <c r="E43" s="779"/>
      <c r="F43" s="780"/>
      <c r="G43" s="172" t="str">
        <f>IF(H43="TSR", "kVA","kW")</f>
        <v>kW</v>
      </c>
      <c r="H43" s="660" t="str">
        <f>IF(H41="","",H41)</f>
        <v/>
      </c>
      <c r="I43" s="769" t="str">
        <f>IFERROR(E43*12*INDEX(Table18[$/kW],MATCH(H43,Table18[Rate],0)),"")</f>
        <v/>
      </c>
      <c r="J43" s="769"/>
      <c r="K43" s="777"/>
      <c r="L43" s="777"/>
      <c r="M43" s="777"/>
    </row>
    <row r="44" spans="2:13" ht="15" customHeight="1" x14ac:dyDescent="0.2">
      <c r="B44" s="767" t="s">
        <v>384</v>
      </c>
      <c r="C44" s="767"/>
      <c r="D44" s="767"/>
      <c r="E44" s="765"/>
      <c r="F44" s="765"/>
      <c r="G44" s="767"/>
      <c r="H44" s="767"/>
      <c r="I44" s="768">
        <f>SUM(I41:I43)</f>
        <v>0</v>
      </c>
      <c r="J44" s="768"/>
      <c r="K44" s="777"/>
      <c r="L44" s="777"/>
      <c r="M44" s="777"/>
    </row>
    <row r="45" spans="2:13" ht="15" customHeight="1" x14ac:dyDescent="0.2">
      <c r="B45" s="179"/>
      <c r="C45" s="179"/>
      <c r="D45" s="179"/>
      <c r="E45" s="179"/>
      <c r="F45" s="179"/>
      <c r="G45" s="179"/>
      <c r="H45" s="179"/>
      <c r="I45" s="155"/>
      <c r="J45" s="155"/>
      <c r="K45" s="140"/>
      <c r="L45" s="140"/>
      <c r="M45" s="140"/>
    </row>
    <row r="46" spans="2:13" ht="22.5" customHeight="1" x14ac:dyDescent="0.2">
      <c r="B46" s="730" t="s">
        <v>864</v>
      </c>
      <c r="C46" s="730"/>
      <c r="D46" s="730"/>
      <c r="E46" s="730"/>
      <c r="F46" s="730"/>
      <c r="G46" s="730"/>
      <c r="H46" s="730"/>
      <c r="I46" s="730"/>
      <c r="J46" s="730"/>
      <c r="K46" s="730"/>
      <c r="L46" s="730"/>
      <c r="M46" s="730"/>
    </row>
    <row r="47" spans="2:13" ht="26.25" customHeight="1" x14ac:dyDescent="0.2">
      <c r="B47" s="731" t="s">
        <v>15</v>
      </c>
      <c r="C47" s="731"/>
      <c r="D47" s="731"/>
      <c r="E47" s="731"/>
      <c r="F47" s="474" t="s">
        <v>363</v>
      </c>
      <c r="G47" s="448" t="s">
        <v>5</v>
      </c>
      <c r="H47" s="474" t="s">
        <v>462</v>
      </c>
      <c r="I47" s="448" t="s">
        <v>11</v>
      </c>
      <c r="J47" s="448" t="s">
        <v>403</v>
      </c>
      <c r="K47" s="448" t="s">
        <v>231</v>
      </c>
      <c r="L47" s="732" t="s">
        <v>13</v>
      </c>
      <c r="M47" s="732"/>
    </row>
    <row r="48" spans="2:13" ht="15" customHeight="1" x14ac:dyDescent="0.2">
      <c r="B48" s="728"/>
      <c r="C48" s="728"/>
      <c r="D48" s="728"/>
      <c r="E48" s="728"/>
      <c r="F48" s="477"/>
      <c r="G48" s="693" t="str">
        <f>IF(B48="District Energy Fuel(s)","Fill this cell",IF(B48="","",INDEX(Table139[Unit],MATCH(B48,Table139[Fuel Type],0))))</f>
        <v/>
      </c>
      <c r="H48" s="478"/>
      <c r="I48" s="485" t="str">
        <f>IF(B48="","",F48*H48)</f>
        <v/>
      </c>
      <c r="J48" s="695" t="str">
        <f>IFERROR(IF(B48="District Energy Fuel(s)","Fill this cell",F48*INDEX(Table139[Energy Density GJ/unit],MATCH(B48,Table139[Fuel Type],0))/0.0036),"")</f>
        <v/>
      </c>
      <c r="K48" s="694" t="str">
        <f>IFERROR(IF(B48="District Energy Fuel(s)","Fill this cell",INDEX(Table139[CO2e],MATCH('1.0 Pre-Screen'!$B48,Table139[Fuel Type],0))*INDEX(Table139[Energy Density GJ/unit],MATCH('1.0 Pre-Screen'!B48,Table139[Fuel Type],0))),"")</f>
        <v/>
      </c>
      <c r="L48" s="733" t="str">
        <f>IF(B48="","",F48*K48/1000)</f>
        <v/>
      </c>
      <c r="M48" s="733"/>
    </row>
    <row r="49" spans="2:13" ht="15" customHeight="1" x14ac:dyDescent="0.2">
      <c r="B49" s="728"/>
      <c r="C49" s="728"/>
      <c r="D49" s="728"/>
      <c r="E49" s="728"/>
      <c r="F49" s="477"/>
      <c r="G49" s="693" t="str">
        <f>IF(B49="District Energy Fuel(s)","Fill this cell",IF(B49="","",INDEX(Table139[Unit],MATCH(B49,Table139[Fuel Type],0))))</f>
        <v/>
      </c>
      <c r="H49" s="478"/>
      <c r="I49" s="486" t="str">
        <f>IF(B49="","",F49*H49)</f>
        <v/>
      </c>
      <c r="J49" s="695" t="str">
        <f>IFERROR(IF(B49="District Energy Fuel(s)","Fill this cell",F49*INDEX(Table139[Energy Density GJ/unit],MATCH(B49,Table139[Fuel Type],0))/0.0036),"")</f>
        <v/>
      </c>
      <c r="K49" s="694" t="str">
        <f>IFERROR(IF(B49="District Energy Fuel(s)","Fill this cell",INDEX(Table139[CO2e],MATCH('1.0 Pre-Screen'!$B49,Table139[Fuel Type],0))*INDEX(Table139[Energy Density GJ/unit],MATCH('1.0 Pre-Screen'!B49,Table139[Fuel Type],0))),"")</f>
        <v/>
      </c>
      <c r="L49" s="729" t="str">
        <f>IF(B49="","",F49*K49/1000)</f>
        <v/>
      </c>
      <c r="M49" s="729"/>
    </row>
    <row r="50" spans="2:13" ht="15" customHeight="1" x14ac:dyDescent="0.2">
      <c r="B50" s="728"/>
      <c r="C50" s="728"/>
      <c r="D50" s="728"/>
      <c r="E50" s="728"/>
      <c r="F50" s="477"/>
      <c r="G50" s="693" t="str">
        <f>IF(B50="District Energy Fuel(s)","Fill this cell",IF(B50="","",INDEX(Table139[Unit],MATCH(B50,Table139[Fuel Type],0))))</f>
        <v/>
      </c>
      <c r="H50" s="478"/>
      <c r="I50" s="486" t="str">
        <f>IF(B50="","",F50*H50)</f>
        <v/>
      </c>
      <c r="J50" s="695" t="str">
        <f>IFERROR(IF(B50="District Energy Fuel(s)","Fill this cell",F50*INDEX(Table139[Energy Density GJ/unit],MATCH(B50,Table139[Fuel Type],0))/0.0036),"")</f>
        <v/>
      </c>
      <c r="K50" s="694" t="str">
        <f>IFERROR(IF(B50="District Energy Fuel(s)","Fill this cell",INDEX(Table139[CO2e],MATCH('1.0 Pre-Screen'!$B50,Table139[Fuel Type],0))*INDEX(Table139[Energy Density GJ/unit],MATCH('1.0 Pre-Screen'!B50,Table139[Fuel Type],0))),"")</f>
        <v/>
      </c>
      <c r="L50" s="729" t="str">
        <f t="shared" ref="L50:L51" si="0">IF(B50="","",F50*K50/1000)</f>
        <v/>
      </c>
      <c r="M50" s="729"/>
    </row>
    <row r="51" spans="2:13" ht="15" customHeight="1" x14ac:dyDescent="0.2">
      <c r="B51" s="728"/>
      <c r="C51" s="728"/>
      <c r="D51" s="728"/>
      <c r="E51" s="728"/>
      <c r="F51" s="477"/>
      <c r="G51" s="693" t="str">
        <f>IF(B51="District Energy Fuel(s)","Fill this cell",IF(B51="","",INDEX(Table139[Unit],MATCH(B51,Table139[Fuel Type],0))))</f>
        <v/>
      </c>
      <c r="H51" s="478"/>
      <c r="I51" s="486" t="str">
        <f>IF(B51="","",F51*H51)</f>
        <v/>
      </c>
      <c r="J51" s="695" t="str">
        <f>IFERROR(IF(B51="District Energy Fuel(s)","Fill this cell",F51*INDEX(Table139[Energy Density GJ/unit],MATCH(B51,Table139[Fuel Type],0))/0.0036),"")</f>
        <v/>
      </c>
      <c r="K51" s="694" t="str">
        <f>IFERROR(IF(B51="District Energy Fuel(s)","Fill this cell",INDEX(Table139[CO2e],MATCH('1.0 Pre-Screen'!$B51,Table139[Fuel Type],0))*INDEX(Table139[Energy Density GJ/unit],MATCH('1.0 Pre-Screen'!B51,Table139[Fuel Type],0))),"")</f>
        <v/>
      </c>
      <c r="L51" s="729" t="str">
        <f t="shared" si="0"/>
        <v/>
      </c>
      <c r="M51" s="729"/>
    </row>
    <row r="52" spans="2:13" ht="15" customHeight="1" x14ac:dyDescent="0.2">
      <c r="B52" s="728"/>
      <c r="C52" s="728"/>
      <c r="D52" s="728"/>
      <c r="E52" s="728"/>
      <c r="F52" s="477"/>
      <c r="G52" s="693" t="str">
        <f>IF(B52="District Energy Fuel(s)","Fill this cell",IF(B52="","",INDEX(Table139[Unit],MATCH(B52,Table139[Fuel Type],0))))</f>
        <v/>
      </c>
      <c r="H52" s="478"/>
      <c r="I52" s="486" t="str">
        <f>IF(B52="","",F52*H52)</f>
        <v/>
      </c>
      <c r="J52" s="695" t="str">
        <f>IFERROR(IF(B52="District Energy Fuel(s)","Fill this cell",F52*INDEX(Table139[Energy Density GJ/unit],MATCH(B52,Table139[Fuel Type],0))/0.0036),"")</f>
        <v/>
      </c>
      <c r="K52" s="694" t="str">
        <f>IFERROR(IF(B52="District Energy Fuel(s)","Fill this cell",INDEX(Table139[CO2e],MATCH('1.0 Pre-Screen'!$B52,Table139[Fuel Type],0))*INDEX(Table139[Energy Density GJ/unit],MATCH('1.0 Pre-Screen'!B52,Table139[Fuel Type],0))),"")</f>
        <v/>
      </c>
      <c r="L52" s="729" t="str">
        <f>IF(B52="","",F52*K52/1000)</f>
        <v/>
      </c>
      <c r="M52" s="729"/>
    </row>
    <row r="53" spans="2:13" ht="15" customHeight="1" x14ac:dyDescent="0.2">
      <c r="B53" s="742" t="s">
        <v>463</v>
      </c>
      <c r="C53" s="742"/>
      <c r="D53" s="742"/>
      <c r="E53" s="742"/>
      <c r="F53" s="742"/>
      <c r="G53" s="742"/>
      <c r="H53" s="742"/>
      <c r="I53" s="487">
        <f>SUM(I48:I52)</f>
        <v>0</v>
      </c>
      <c r="J53" s="488">
        <f>SUM(J48:J52)</f>
        <v>0</v>
      </c>
      <c r="K53" s="489"/>
      <c r="L53" s="743" t="str">
        <f>TEXT(SUM(L48:L52),"#,##0.0")&amp;" tCO2e/yr"</f>
        <v>0.0 tCO2e/yr</v>
      </c>
      <c r="M53" s="743"/>
    </row>
    <row r="54" spans="2:13" ht="15" customHeight="1" x14ac:dyDescent="0.2">
      <c r="B54" s="179"/>
      <c r="C54" s="179"/>
      <c r="D54" s="179"/>
      <c r="E54" s="179"/>
      <c r="F54" s="179"/>
      <c r="G54" s="179"/>
      <c r="H54" s="179"/>
      <c r="I54" s="141"/>
      <c r="J54" s="142"/>
      <c r="K54" s="182"/>
      <c r="L54" s="180"/>
      <c r="M54" s="180"/>
    </row>
    <row r="55" spans="2:13" ht="15" customHeight="1" x14ac:dyDescent="0.2">
      <c r="B55" s="735" t="s">
        <v>232</v>
      </c>
      <c r="C55" s="735"/>
      <c r="D55" s="735"/>
      <c r="E55" s="735"/>
      <c r="F55" s="735"/>
      <c r="G55" s="735"/>
      <c r="H55" s="735"/>
      <c r="I55" s="735"/>
      <c r="J55" s="735"/>
      <c r="K55" s="735"/>
      <c r="L55" s="735"/>
      <c r="M55" s="735"/>
    </row>
    <row r="56" spans="2:13" ht="15" customHeight="1" x14ac:dyDescent="0.2">
      <c r="B56" s="736"/>
      <c r="C56" s="737"/>
      <c r="D56" s="737"/>
      <c r="E56" s="737"/>
      <c r="F56" s="737"/>
      <c r="G56" s="737"/>
      <c r="H56" s="737"/>
      <c r="I56" s="737"/>
      <c r="J56" s="737"/>
      <c r="K56" s="737"/>
      <c r="L56" s="737"/>
      <c r="M56" s="737"/>
    </row>
    <row r="57" spans="2:13" ht="15" customHeight="1" x14ac:dyDescent="0.2">
      <c r="B57" s="737"/>
      <c r="C57" s="737"/>
      <c r="D57" s="737"/>
      <c r="E57" s="737"/>
      <c r="F57" s="737"/>
      <c r="G57" s="737"/>
      <c r="H57" s="737"/>
      <c r="I57" s="737"/>
      <c r="J57" s="737"/>
      <c r="K57" s="737"/>
      <c r="L57" s="737"/>
      <c r="M57" s="737"/>
    </row>
    <row r="58" spans="2:13" ht="15" customHeight="1" x14ac:dyDescent="0.2">
      <c r="B58" s="737"/>
      <c r="C58" s="737"/>
      <c r="D58" s="737"/>
      <c r="E58" s="737"/>
      <c r="F58" s="737"/>
      <c r="G58" s="737"/>
      <c r="H58" s="737"/>
      <c r="I58" s="737"/>
      <c r="J58" s="737"/>
      <c r="K58" s="737"/>
      <c r="L58" s="737"/>
      <c r="M58" s="737"/>
    </row>
    <row r="59" spans="2:13" ht="15" customHeight="1" x14ac:dyDescent="0.2">
      <c r="B59" s="401"/>
      <c r="C59" s="401"/>
      <c r="D59" s="401"/>
      <c r="E59" s="401"/>
      <c r="F59" s="401"/>
      <c r="G59" s="401"/>
      <c r="H59" s="401"/>
      <c r="I59" s="401"/>
      <c r="J59" s="401"/>
      <c r="K59" s="401"/>
      <c r="L59" s="401"/>
      <c r="M59" s="402"/>
    </row>
    <row r="60" spans="2:13" ht="15" customHeight="1" x14ac:dyDescent="0.2">
      <c r="B60" s="742" t="s">
        <v>664</v>
      </c>
      <c r="C60" s="742"/>
      <c r="D60" s="742"/>
      <c r="E60" s="742"/>
      <c r="F60" s="742"/>
      <c r="G60" s="742"/>
      <c r="H60" s="742"/>
      <c r="I60" s="742"/>
      <c r="J60" s="742"/>
      <c r="K60" s="742"/>
      <c r="L60" s="744">
        <f>SUM(I44,I53)</f>
        <v>0</v>
      </c>
      <c r="M60" s="745"/>
    </row>
    <row r="61" spans="2:13" ht="15" customHeight="1" x14ac:dyDescent="0.2">
      <c r="B61" s="179"/>
      <c r="C61" s="179"/>
      <c r="D61" s="179"/>
      <c r="E61" s="179"/>
      <c r="F61" s="179"/>
      <c r="G61" s="179"/>
      <c r="H61" s="179"/>
      <c r="I61" s="179"/>
      <c r="J61" s="179"/>
      <c r="K61" s="179" t="s">
        <v>666</v>
      </c>
      <c r="L61" s="744">
        <f>SUM(E41,J53)</f>
        <v>0</v>
      </c>
      <c r="M61" s="745"/>
    </row>
    <row r="62" spans="2:13" ht="15" customHeight="1" x14ac:dyDescent="0.2">
      <c r="B62" s="742" t="s">
        <v>665</v>
      </c>
      <c r="C62" s="742"/>
      <c r="D62" s="742"/>
      <c r="E62" s="742"/>
      <c r="F62" s="742"/>
      <c r="G62" s="742"/>
      <c r="H62" s="742"/>
      <c r="I62" s="742"/>
      <c r="J62" s="742"/>
      <c r="K62" s="742"/>
      <c r="L62" s="744">
        <f>SUM(L48:M52,L41)</f>
        <v>0</v>
      </c>
      <c r="M62" s="745"/>
    </row>
    <row r="63" spans="2:13" ht="22.5" customHeight="1" x14ac:dyDescent="0.2">
      <c r="B63" s="730" t="s">
        <v>667</v>
      </c>
      <c r="C63" s="730"/>
      <c r="D63" s="730"/>
      <c r="E63" s="730"/>
      <c r="F63" s="730"/>
      <c r="G63" s="730"/>
      <c r="H63" s="730"/>
      <c r="I63" s="730"/>
      <c r="J63" s="730"/>
      <c r="K63" s="730"/>
      <c r="L63" s="730"/>
      <c r="M63" s="730"/>
    </row>
    <row r="64" spans="2:13" ht="15" customHeight="1" x14ac:dyDescent="0.2">
      <c r="B64" s="800" t="s">
        <v>459</v>
      </c>
      <c r="C64" s="800"/>
      <c r="D64" s="800"/>
      <c r="E64" s="800"/>
      <c r="F64" s="800"/>
      <c r="G64" s="800"/>
      <c r="H64" s="800"/>
      <c r="I64" s="800"/>
      <c r="J64" s="800"/>
      <c r="K64" s="800"/>
      <c r="L64" s="800"/>
      <c r="M64" s="800"/>
    </row>
    <row r="65" spans="2:13" ht="15" customHeight="1" x14ac:dyDescent="0.2">
      <c r="B65" s="785" t="s">
        <v>228</v>
      </c>
      <c r="C65" s="785"/>
      <c r="D65" s="785"/>
      <c r="E65" s="785"/>
      <c r="F65" s="785"/>
      <c r="G65" s="785"/>
      <c r="H65" s="785"/>
      <c r="I65" s="785"/>
      <c r="J65" s="785"/>
      <c r="K65" s="163" t="s">
        <v>460</v>
      </c>
      <c r="L65" s="479"/>
      <c r="M65" s="143" t="str">
        <f>IF(L65="","","years")</f>
        <v/>
      </c>
    </row>
    <row r="66" spans="2:13" ht="15" customHeight="1" x14ac:dyDescent="0.2">
      <c r="B66" s="736"/>
      <c r="C66" s="737"/>
      <c r="D66" s="737"/>
      <c r="E66" s="737"/>
      <c r="F66" s="737"/>
      <c r="G66" s="737"/>
      <c r="H66" s="737"/>
      <c r="I66" s="737"/>
      <c r="J66" s="737"/>
      <c r="K66" s="737"/>
      <c r="L66" s="737"/>
      <c r="M66" s="737"/>
    </row>
    <row r="67" spans="2:13" ht="15" customHeight="1" x14ac:dyDescent="0.2">
      <c r="B67" s="737"/>
      <c r="C67" s="737"/>
      <c r="D67" s="737"/>
      <c r="E67" s="737"/>
      <c r="F67" s="737"/>
      <c r="G67" s="737"/>
      <c r="H67" s="737"/>
      <c r="I67" s="737"/>
      <c r="J67" s="737"/>
      <c r="K67" s="737"/>
      <c r="L67" s="737"/>
      <c r="M67" s="737"/>
    </row>
    <row r="68" spans="2:13" ht="15" customHeight="1" x14ac:dyDescent="0.2">
      <c r="B68" s="737"/>
      <c r="C68" s="737"/>
      <c r="D68" s="737"/>
      <c r="E68" s="737"/>
      <c r="F68" s="737"/>
      <c r="G68" s="737"/>
      <c r="H68" s="737"/>
      <c r="I68" s="737"/>
      <c r="J68" s="737"/>
      <c r="K68" s="737"/>
      <c r="L68" s="737"/>
      <c r="M68" s="737"/>
    </row>
    <row r="69" spans="2:13" ht="15" customHeight="1" x14ac:dyDescent="0.2">
      <c r="B69" s="737"/>
      <c r="C69" s="737"/>
      <c r="D69" s="737"/>
      <c r="E69" s="737"/>
      <c r="F69" s="737"/>
      <c r="G69" s="737"/>
      <c r="H69" s="737"/>
      <c r="I69" s="737"/>
      <c r="J69" s="737"/>
      <c r="K69" s="737"/>
      <c r="L69" s="737"/>
      <c r="M69" s="737"/>
    </row>
    <row r="70" spans="2:13" ht="15" customHeight="1" x14ac:dyDescent="0.2">
      <c r="B70" s="737"/>
      <c r="C70" s="737"/>
      <c r="D70" s="737"/>
      <c r="E70" s="737"/>
      <c r="F70" s="737"/>
      <c r="G70" s="737"/>
      <c r="H70" s="737"/>
      <c r="I70" s="737"/>
      <c r="J70" s="737"/>
      <c r="K70" s="737"/>
      <c r="L70" s="737"/>
      <c r="M70" s="737"/>
    </row>
    <row r="71" spans="2:13" ht="15" customHeight="1" x14ac:dyDescent="0.2">
      <c r="B71" s="737"/>
      <c r="C71" s="737"/>
      <c r="D71" s="737"/>
      <c r="E71" s="737"/>
      <c r="F71" s="737"/>
      <c r="G71" s="737"/>
      <c r="H71" s="737"/>
      <c r="I71" s="737"/>
      <c r="J71" s="737"/>
      <c r="K71" s="737"/>
      <c r="L71" s="737"/>
      <c r="M71" s="737"/>
    </row>
    <row r="72" spans="2:13" ht="15" customHeight="1" x14ac:dyDescent="0.2">
      <c r="B72" s="737"/>
      <c r="C72" s="737"/>
      <c r="D72" s="737"/>
      <c r="E72" s="737"/>
      <c r="F72" s="737"/>
      <c r="G72" s="737"/>
      <c r="H72" s="737"/>
      <c r="I72" s="737"/>
      <c r="J72" s="737"/>
      <c r="K72" s="737"/>
      <c r="L72" s="737"/>
      <c r="M72" s="737"/>
    </row>
    <row r="73" spans="2:13" ht="15" customHeight="1" x14ac:dyDescent="0.2">
      <c r="B73" s="801" t="s">
        <v>461</v>
      </c>
      <c r="C73" s="801"/>
      <c r="D73" s="801"/>
      <c r="E73" s="801"/>
      <c r="F73" s="801"/>
      <c r="G73" s="801"/>
      <c r="H73" s="801"/>
      <c r="I73" s="801"/>
      <c r="J73" s="801"/>
      <c r="K73" s="801"/>
      <c r="L73" s="801"/>
      <c r="M73" s="801"/>
    </row>
    <row r="74" spans="2:13" ht="15" customHeight="1" x14ac:dyDescent="0.2">
      <c r="B74" s="739"/>
      <c r="C74" s="740"/>
      <c r="D74" s="740"/>
      <c r="E74" s="740"/>
      <c r="F74" s="740"/>
      <c r="G74" s="740"/>
      <c r="H74" s="740"/>
      <c r="I74" s="740"/>
      <c r="J74" s="740"/>
      <c r="K74" s="740"/>
      <c r="L74" s="740"/>
      <c r="M74" s="740"/>
    </row>
    <row r="75" spans="2:13" ht="15" customHeight="1" x14ac:dyDescent="0.2">
      <c r="B75" s="740"/>
      <c r="C75" s="740"/>
      <c r="D75" s="740"/>
      <c r="E75" s="740"/>
      <c r="F75" s="740"/>
      <c r="G75" s="740"/>
      <c r="H75" s="740"/>
      <c r="I75" s="740"/>
      <c r="J75" s="740"/>
      <c r="K75" s="740"/>
      <c r="L75" s="740"/>
      <c r="M75" s="740"/>
    </row>
    <row r="76" spans="2:13" ht="15" customHeight="1" x14ac:dyDescent="0.2">
      <c r="B76" s="740"/>
      <c r="C76" s="740"/>
      <c r="D76" s="740"/>
      <c r="E76" s="740"/>
      <c r="F76" s="740"/>
      <c r="G76" s="740"/>
      <c r="H76" s="740"/>
      <c r="I76" s="740"/>
      <c r="J76" s="740"/>
      <c r="K76" s="740"/>
      <c r="L76" s="740"/>
      <c r="M76" s="740"/>
    </row>
    <row r="77" spans="2:13" ht="15" customHeight="1" x14ac:dyDescent="0.2">
      <c r="B77" s="740"/>
      <c r="C77" s="740"/>
      <c r="D77" s="740"/>
      <c r="E77" s="740"/>
      <c r="F77" s="740"/>
      <c r="G77" s="740"/>
      <c r="H77" s="740"/>
      <c r="I77" s="740"/>
      <c r="J77" s="740"/>
      <c r="K77" s="740"/>
      <c r="L77" s="740"/>
      <c r="M77" s="740"/>
    </row>
    <row r="78" spans="2:13" ht="15" customHeight="1" x14ac:dyDescent="0.2">
      <c r="B78" s="740"/>
      <c r="C78" s="740"/>
      <c r="D78" s="740"/>
      <c r="E78" s="740"/>
      <c r="F78" s="740"/>
      <c r="G78" s="740"/>
      <c r="H78" s="740"/>
      <c r="I78" s="740"/>
      <c r="J78" s="740"/>
      <c r="K78" s="740"/>
      <c r="L78" s="740"/>
      <c r="M78" s="740"/>
    </row>
    <row r="79" spans="2:13" ht="15" customHeight="1" x14ac:dyDescent="0.2">
      <c r="B79" s="185"/>
      <c r="C79" s="185"/>
      <c r="D79" s="185"/>
      <c r="E79" s="185"/>
      <c r="F79" s="185"/>
      <c r="G79" s="185"/>
      <c r="H79" s="185"/>
      <c r="I79" s="185"/>
      <c r="J79" s="185"/>
      <c r="K79" s="185"/>
      <c r="L79" s="185"/>
      <c r="M79" s="480"/>
    </row>
    <row r="80" spans="2:13" ht="15" customHeight="1" x14ac:dyDescent="0.2">
      <c r="B80" s="738" t="s">
        <v>353</v>
      </c>
      <c r="C80" s="738"/>
      <c r="D80" s="738"/>
      <c r="E80" s="738"/>
      <c r="F80" s="738"/>
      <c r="G80" s="738"/>
      <c r="H80" s="738"/>
      <c r="I80" s="738"/>
      <c r="J80" s="738"/>
      <c r="K80" s="738"/>
      <c r="L80" s="738"/>
      <c r="M80" s="481"/>
    </row>
    <row r="81" spans="2:18" ht="15" customHeight="1" x14ac:dyDescent="0.2">
      <c r="B81" s="739"/>
      <c r="C81" s="740"/>
      <c r="D81" s="740"/>
      <c r="E81" s="740"/>
      <c r="F81" s="740"/>
      <c r="G81" s="740"/>
      <c r="H81" s="740"/>
      <c r="I81" s="740"/>
      <c r="J81" s="740"/>
      <c r="K81" s="740"/>
      <c r="L81" s="740"/>
      <c r="M81" s="740"/>
    </row>
    <row r="82" spans="2:18" ht="15" customHeight="1" x14ac:dyDescent="0.2">
      <c r="B82" s="740"/>
      <c r="C82" s="740"/>
      <c r="D82" s="740"/>
      <c r="E82" s="740"/>
      <c r="F82" s="740"/>
      <c r="G82" s="740"/>
      <c r="H82" s="740"/>
      <c r="I82" s="740"/>
      <c r="J82" s="740"/>
      <c r="K82" s="740"/>
      <c r="L82" s="740"/>
      <c r="M82" s="740"/>
    </row>
    <row r="83" spans="2:18" ht="15" customHeight="1" x14ac:dyDescent="0.2">
      <c r="B83" s="740"/>
      <c r="C83" s="740"/>
      <c r="D83" s="740"/>
      <c r="E83" s="740"/>
      <c r="F83" s="740"/>
      <c r="G83" s="740"/>
      <c r="H83" s="740"/>
      <c r="I83" s="740"/>
      <c r="J83" s="740"/>
      <c r="K83" s="740"/>
      <c r="L83" s="740"/>
      <c r="M83" s="740"/>
    </row>
    <row r="84" spans="2:18" ht="15" customHeight="1" x14ac:dyDescent="0.2">
      <c r="B84" s="740"/>
      <c r="C84" s="740"/>
      <c r="D84" s="740"/>
      <c r="E84" s="740"/>
      <c r="F84" s="740"/>
      <c r="G84" s="740"/>
      <c r="H84" s="740"/>
      <c r="I84" s="740"/>
      <c r="J84" s="740"/>
      <c r="K84" s="740"/>
      <c r="L84" s="740"/>
      <c r="M84" s="740"/>
    </row>
    <row r="85" spans="2:18" ht="15" customHeight="1" x14ac:dyDescent="0.2">
      <c r="B85" s="740"/>
      <c r="C85" s="740"/>
      <c r="D85" s="740"/>
      <c r="E85" s="740"/>
      <c r="F85" s="740"/>
      <c r="G85" s="740"/>
      <c r="H85" s="740"/>
      <c r="I85" s="740"/>
      <c r="J85" s="740"/>
      <c r="K85" s="740"/>
      <c r="L85" s="740"/>
      <c r="M85" s="740"/>
    </row>
    <row r="86" spans="2:18" ht="15" customHeight="1" x14ac:dyDescent="0.2">
      <c r="B86" s="185"/>
      <c r="C86" s="185"/>
      <c r="D86" s="185"/>
      <c r="E86" s="185"/>
      <c r="F86" s="185"/>
      <c r="G86" s="185"/>
      <c r="H86" s="185"/>
      <c r="I86" s="185"/>
      <c r="J86" s="185"/>
      <c r="K86" s="185"/>
      <c r="L86" s="185"/>
      <c r="M86" s="185"/>
    </row>
    <row r="87" spans="2:18" ht="22.5" customHeight="1" x14ac:dyDescent="0.2">
      <c r="B87" s="730" t="s">
        <v>668</v>
      </c>
      <c r="C87" s="730"/>
      <c r="D87" s="730"/>
      <c r="E87" s="730"/>
      <c r="F87" s="730"/>
      <c r="G87" s="730"/>
      <c r="H87" s="730"/>
      <c r="I87" s="730"/>
      <c r="J87" s="730"/>
      <c r="K87" s="730"/>
      <c r="L87" s="730"/>
      <c r="M87" s="730"/>
    </row>
    <row r="88" spans="2:18" ht="15" customHeight="1" x14ac:dyDescent="0.2">
      <c r="B88" s="741" t="s">
        <v>415</v>
      </c>
      <c r="C88" s="741"/>
      <c r="D88" s="741"/>
      <c r="E88" s="741"/>
      <c r="F88" s="741"/>
      <c r="G88" s="741"/>
      <c r="H88" s="741"/>
      <c r="I88" s="741"/>
      <c r="J88" s="741"/>
      <c r="K88" s="741"/>
      <c r="L88" s="741"/>
      <c r="M88" s="741"/>
    </row>
    <row r="89" spans="2:18" ht="15" customHeight="1" x14ac:dyDescent="0.2">
      <c r="B89" s="741"/>
      <c r="C89" s="741"/>
      <c r="D89" s="741"/>
      <c r="E89" s="741"/>
      <c r="F89" s="741"/>
      <c r="G89" s="741"/>
      <c r="H89" s="741"/>
      <c r="I89" s="741"/>
      <c r="J89" s="741"/>
      <c r="K89" s="741"/>
      <c r="L89" s="741"/>
      <c r="M89" s="741"/>
    </row>
    <row r="90" spans="2:18" ht="15" customHeight="1" x14ac:dyDescent="0.2">
      <c r="B90" s="741"/>
      <c r="C90" s="741"/>
      <c r="D90" s="741"/>
      <c r="E90" s="741"/>
      <c r="F90" s="741"/>
      <c r="G90" s="741"/>
      <c r="H90" s="741"/>
      <c r="I90" s="741"/>
      <c r="J90" s="741"/>
      <c r="K90" s="741"/>
      <c r="L90" s="741"/>
      <c r="M90" s="741"/>
    </row>
    <row r="91" spans="2:18" ht="15" customHeight="1" x14ac:dyDescent="0.2">
      <c r="B91" s="736"/>
      <c r="C91" s="737"/>
      <c r="D91" s="737"/>
      <c r="E91" s="737"/>
      <c r="F91" s="737"/>
      <c r="G91" s="737"/>
      <c r="H91" s="737"/>
      <c r="I91" s="737"/>
      <c r="J91" s="737"/>
      <c r="K91" s="737"/>
      <c r="L91" s="737"/>
      <c r="M91" s="737"/>
    </row>
    <row r="92" spans="2:18" ht="15" customHeight="1" x14ac:dyDescent="0.2">
      <c r="B92" s="737"/>
      <c r="C92" s="737"/>
      <c r="D92" s="737"/>
      <c r="E92" s="737"/>
      <c r="F92" s="737"/>
      <c r="G92" s="737"/>
      <c r="H92" s="737"/>
      <c r="I92" s="737"/>
      <c r="J92" s="737"/>
      <c r="K92" s="737"/>
      <c r="L92" s="737"/>
      <c r="M92" s="737"/>
    </row>
    <row r="93" spans="2:18" ht="15" customHeight="1" x14ac:dyDescent="0.2">
      <c r="B93" s="737"/>
      <c r="C93" s="737"/>
      <c r="D93" s="737"/>
      <c r="E93" s="737"/>
      <c r="F93" s="737"/>
      <c r="G93" s="737"/>
      <c r="H93" s="737"/>
      <c r="I93" s="737"/>
      <c r="J93" s="737"/>
      <c r="K93" s="737"/>
      <c r="L93" s="737"/>
      <c r="M93" s="737"/>
    </row>
    <row r="94" spans="2:18" ht="15" customHeight="1" x14ac:dyDescent="0.2">
      <c r="B94" s="737"/>
      <c r="C94" s="737"/>
      <c r="D94" s="737"/>
      <c r="E94" s="737"/>
      <c r="F94" s="737"/>
      <c r="G94" s="737"/>
      <c r="H94" s="737"/>
      <c r="I94" s="737"/>
      <c r="J94" s="737"/>
      <c r="K94" s="737"/>
      <c r="L94" s="737"/>
      <c r="M94" s="737"/>
    </row>
    <row r="95" spans="2:18" ht="22.5" customHeight="1" x14ac:dyDescent="0.2">
      <c r="B95" s="730" t="s">
        <v>669</v>
      </c>
      <c r="C95" s="730"/>
      <c r="D95" s="730"/>
      <c r="E95" s="730"/>
      <c r="F95" s="730"/>
      <c r="G95" s="730"/>
      <c r="H95" s="730"/>
      <c r="I95" s="730"/>
      <c r="J95" s="730"/>
      <c r="K95" s="730"/>
      <c r="L95" s="730"/>
      <c r="M95" s="730"/>
    </row>
    <row r="96" spans="2:18" ht="26.25" customHeight="1" x14ac:dyDescent="0.2">
      <c r="B96" s="474" t="s">
        <v>314</v>
      </c>
      <c r="C96" s="732" t="s">
        <v>416</v>
      </c>
      <c r="D96" s="732"/>
      <c r="E96" s="732" t="s">
        <v>425</v>
      </c>
      <c r="F96" s="732"/>
      <c r="G96" s="732" t="s">
        <v>426</v>
      </c>
      <c r="H96" s="732"/>
      <c r="I96" s="732" t="s">
        <v>229</v>
      </c>
      <c r="J96" s="732"/>
      <c r="K96" s="732" t="s">
        <v>315</v>
      </c>
      <c r="L96" s="732"/>
      <c r="M96" s="732"/>
      <c r="R96" s="164" t="s">
        <v>427</v>
      </c>
    </row>
    <row r="97" spans="2:18" ht="26.25" customHeight="1" x14ac:dyDescent="0.2">
      <c r="B97" s="490">
        <v>1</v>
      </c>
      <c r="C97" s="734"/>
      <c r="D97" s="734"/>
      <c r="E97" s="734"/>
      <c r="F97" s="734"/>
      <c r="G97" s="734"/>
      <c r="H97" s="734"/>
      <c r="I97" s="734"/>
      <c r="J97" s="734"/>
      <c r="K97" s="734"/>
      <c r="L97" s="734"/>
      <c r="M97" s="734"/>
      <c r="R97" s="140" t="str">
        <f>IFERROR(INDEX(Variables!$U$2:$V$37,MATCH(K97,Variables!$U$2:$U$37),2),"")</f>
        <v/>
      </c>
    </row>
    <row r="98" spans="2:18" ht="26.25" customHeight="1" x14ac:dyDescent="0.2">
      <c r="B98" s="490">
        <v>2</v>
      </c>
      <c r="C98" s="734"/>
      <c r="D98" s="734"/>
      <c r="E98" s="734"/>
      <c r="F98" s="734"/>
      <c r="G98" s="734"/>
      <c r="H98" s="734"/>
      <c r="I98" s="734"/>
      <c r="J98" s="734"/>
      <c r="K98" s="734"/>
      <c r="L98" s="734"/>
      <c r="M98" s="734"/>
      <c r="R98" s="140" t="str">
        <f>IFERROR(INDEX(Variables!$U$2:$V$37,MATCH(K98,Variables!$U$2:$U$37),2),"")</f>
        <v/>
      </c>
    </row>
    <row r="99" spans="2:18" ht="26.25" customHeight="1" x14ac:dyDescent="0.2">
      <c r="B99" s="490">
        <v>3</v>
      </c>
      <c r="C99" s="734"/>
      <c r="D99" s="734"/>
      <c r="E99" s="734"/>
      <c r="F99" s="734"/>
      <c r="G99" s="734"/>
      <c r="H99" s="734"/>
      <c r="I99" s="734"/>
      <c r="J99" s="734"/>
      <c r="K99" s="734"/>
      <c r="L99" s="734"/>
      <c r="M99" s="734"/>
      <c r="R99" s="140" t="str">
        <f>IFERROR(INDEX(Variables!$U$2:$V$37,MATCH(K99,Variables!$U$2:$U$37),2),"")</f>
        <v/>
      </c>
    </row>
    <row r="100" spans="2:18" ht="26.25" customHeight="1" x14ac:dyDescent="0.2">
      <c r="B100" s="490">
        <v>4</v>
      </c>
      <c r="C100" s="734"/>
      <c r="D100" s="734"/>
      <c r="E100" s="734"/>
      <c r="F100" s="734"/>
      <c r="G100" s="734"/>
      <c r="H100" s="734"/>
      <c r="I100" s="734"/>
      <c r="J100" s="734"/>
      <c r="K100" s="734"/>
      <c r="L100" s="734"/>
      <c r="M100" s="734"/>
      <c r="R100" s="140" t="str">
        <f>IFERROR(INDEX(Variables!$U$2:$V$37,MATCH(K100,Variables!$U$2:$U$37),2),"")</f>
        <v/>
      </c>
    </row>
    <row r="101" spans="2:18" ht="26.25" customHeight="1" x14ac:dyDescent="0.2">
      <c r="B101" s="490">
        <v>5</v>
      </c>
      <c r="C101" s="734"/>
      <c r="D101" s="734"/>
      <c r="E101" s="734"/>
      <c r="F101" s="734"/>
      <c r="G101" s="734"/>
      <c r="H101" s="734"/>
      <c r="I101" s="734"/>
      <c r="J101" s="734"/>
      <c r="K101" s="734"/>
      <c r="L101" s="734"/>
      <c r="M101" s="734"/>
      <c r="R101" s="140" t="str">
        <f>IFERROR(INDEX(Variables!$U$2:$V$37,MATCH(K101,Variables!$U$2:$U$37),2),"")</f>
        <v/>
      </c>
    </row>
    <row r="102" spans="2:18" ht="15" customHeight="1" x14ac:dyDescent="0.2">
      <c r="B102" s="154"/>
      <c r="C102" s="186"/>
      <c r="D102" s="186"/>
      <c r="E102" s="186"/>
      <c r="F102" s="186"/>
      <c r="G102" s="186"/>
      <c r="H102" s="186"/>
      <c r="I102" s="186"/>
      <c r="J102" s="186"/>
      <c r="K102" s="186"/>
      <c r="L102" s="186"/>
      <c r="M102" s="186"/>
    </row>
    <row r="103" spans="2:18" ht="22.5" customHeight="1" x14ac:dyDescent="0.2">
      <c r="B103" s="771" t="s">
        <v>670</v>
      </c>
      <c r="C103" s="771"/>
      <c r="D103" s="771"/>
      <c r="E103" s="771"/>
      <c r="F103" s="771"/>
      <c r="G103" s="771"/>
      <c r="H103" s="771"/>
      <c r="I103" s="771"/>
      <c r="J103" s="771"/>
      <c r="K103" s="771"/>
      <c r="L103" s="771"/>
      <c r="M103" s="771"/>
      <c r="P103" s="164" t="s">
        <v>865</v>
      </c>
      <c r="R103" s="140" t="e">
        <f>AVERAGE(R97:R101)</f>
        <v>#DIV/0!</v>
      </c>
    </row>
    <row r="104" spans="2:18" ht="15" customHeight="1" x14ac:dyDescent="0.2">
      <c r="B104" s="796" t="s">
        <v>359</v>
      </c>
      <c r="C104" s="796"/>
      <c r="D104" s="796"/>
      <c r="E104" s="796"/>
      <c r="F104" s="796"/>
      <c r="G104" s="796"/>
      <c r="H104" s="796"/>
      <c r="I104" s="796"/>
      <c r="J104" s="796"/>
      <c r="K104" s="796"/>
      <c r="L104" s="796"/>
      <c r="M104" s="796"/>
    </row>
    <row r="105" spans="2:18" ht="15" customHeight="1" x14ac:dyDescent="0.2">
      <c r="B105" s="796"/>
      <c r="C105" s="796"/>
      <c r="D105" s="796"/>
      <c r="E105" s="796"/>
      <c r="F105" s="796"/>
      <c r="G105" s="796"/>
      <c r="H105" s="796"/>
      <c r="I105" s="796"/>
      <c r="J105" s="796"/>
      <c r="K105" s="796"/>
      <c r="L105" s="796"/>
      <c r="M105" s="796"/>
    </row>
    <row r="106" spans="2:18" ht="15" customHeight="1" x14ac:dyDescent="0.2">
      <c r="B106" s="736"/>
      <c r="C106" s="737"/>
      <c r="D106" s="737"/>
      <c r="E106" s="737"/>
      <c r="F106" s="737"/>
      <c r="G106" s="737"/>
      <c r="H106" s="737"/>
      <c r="I106" s="737"/>
      <c r="J106" s="737"/>
      <c r="K106" s="737"/>
      <c r="L106" s="737"/>
      <c r="M106" s="737"/>
    </row>
    <row r="107" spans="2:18" ht="15" customHeight="1" x14ac:dyDescent="0.2">
      <c r="B107" s="737"/>
      <c r="C107" s="737"/>
      <c r="D107" s="737"/>
      <c r="E107" s="737"/>
      <c r="F107" s="737"/>
      <c r="G107" s="737"/>
      <c r="H107" s="737"/>
      <c r="I107" s="737"/>
      <c r="J107" s="737"/>
      <c r="K107" s="737"/>
      <c r="L107" s="737"/>
      <c r="M107" s="737"/>
    </row>
    <row r="108" spans="2:18" ht="15" customHeight="1" x14ac:dyDescent="0.2">
      <c r="B108" s="737"/>
      <c r="C108" s="737"/>
      <c r="D108" s="737"/>
      <c r="E108" s="737"/>
      <c r="F108" s="737"/>
      <c r="G108" s="737"/>
      <c r="H108" s="737"/>
      <c r="I108" s="737"/>
      <c r="J108" s="737"/>
      <c r="K108" s="737"/>
      <c r="L108" s="737"/>
      <c r="M108" s="737"/>
    </row>
    <row r="109" spans="2:18" ht="15" customHeight="1" x14ac:dyDescent="0.2">
      <c r="B109" s="187"/>
      <c r="C109" s="187"/>
      <c r="D109" s="187"/>
      <c r="E109" s="187"/>
      <c r="F109" s="187"/>
      <c r="G109" s="187"/>
      <c r="H109" s="187"/>
      <c r="I109" s="187"/>
      <c r="J109" s="187"/>
      <c r="K109" s="187"/>
      <c r="L109" s="187"/>
      <c r="M109" s="187"/>
    </row>
    <row r="110" spans="2:18" ht="22.5" customHeight="1" x14ac:dyDescent="0.2">
      <c r="B110" s="730" t="s">
        <v>404</v>
      </c>
      <c r="C110" s="730"/>
      <c r="D110" s="730"/>
      <c r="E110" s="730"/>
      <c r="F110" s="730"/>
      <c r="G110" s="730"/>
      <c r="H110" s="730"/>
      <c r="I110" s="730"/>
      <c r="J110" s="730"/>
      <c r="K110" s="730"/>
      <c r="L110" s="730"/>
      <c r="M110" s="730"/>
    </row>
    <row r="111" spans="2:18" ht="15" customHeight="1" x14ac:dyDescent="0.2">
      <c r="B111" s="799" t="s">
        <v>360</v>
      </c>
      <c r="C111" s="799"/>
      <c r="D111" s="799"/>
      <c r="E111" s="799"/>
      <c r="F111" s="799"/>
      <c r="G111" s="799"/>
      <c r="H111" s="799"/>
      <c r="I111" s="799"/>
      <c r="J111" s="799"/>
      <c r="K111" s="781" t="s">
        <v>464</v>
      </c>
      <c r="L111" s="781" t="s">
        <v>465</v>
      </c>
      <c r="M111" s="781" t="s">
        <v>38</v>
      </c>
    </row>
    <row r="112" spans="2:18" ht="15" customHeight="1" x14ac:dyDescent="0.2">
      <c r="B112" s="158"/>
      <c r="C112" s="158"/>
      <c r="D112" s="158"/>
      <c r="E112" s="158"/>
      <c r="F112" s="158"/>
      <c r="G112" s="158"/>
      <c r="H112" s="158"/>
      <c r="I112" s="158"/>
      <c r="J112" s="158"/>
      <c r="K112" s="782"/>
      <c r="L112" s="782"/>
      <c r="M112" s="782"/>
    </row>
    <row r="113" spans="2:13" ht="15" customHeight="1" x14ac:dyDescent="0.2">
      <c r="B113" s="797" t="s">
        <v>768</v>
      </c>
      <c r="C113" s="797"/>
      <c r="D113" s="797"/>
      <c r="E113" s="797"/>
      <c r="F113" s="797"/>
      <c r="G113" s="797"/>
      <c r="H113" s="797"/>
      <c r="I113" s="797"/>
      <c r="J113" s="797"/>
      <c r="K113" s="491" t="str">
        <f>IFERROR(IF(L113="","",L113/E41),"")</f>
        <v/>
      </c>
      <c r="L113" s="482"/>
      <c r="M113" s="175" t="s">
        <v>767</v>
      </c>
    </row>
    <row r="114" spans="2:13" ht="15" customHeight="1" x14ac:dyDescent="0.2">
      <c r="B114" s="797" t="s">
        <v>395</v>
      </c>
      <c r="C114" s="797"/>
      <c r="D114" s="797"/>
      <c r="E114" s="797"/>
      <c r="F114" s="797"/>
      <c r="G114" s="797"/>
      <c r="H114" s="797"/>
      <c r="I114" s="797"/>
      <c r="J114" s="797"/>
      <c r="K114" s="491" t="str">
        <f>IFERROR(IF(L114="","",L114/E41),"")</f>
        <v/>
      </c>
      <c r="L114" s="482"/>
      <c r="M114" s="175" t="s">
        <v>14</v>
      </c>
    </row>
    <row r="115" spans="2:13" ht="15" customHeight="1" x14ac:dyDescent="0.2">
      <c r="B115" s="797" t="s">
        <v>396</v>
      </c>
      <c r="C115" s="797"/>
      <c r="D115" s="797"/>
      <c r="E115" s="797"/>
      <c r="F115" s="797"/>
      <c r="G115" s="797"/>
      <c r="H115" s="797"/>
      <c r="I115" s="797"/>
      <c r="J115" s="797"/>
      <c r="K115" s="492" t="str">
        <f>IFERROR(IF(L115="","",L115/E42),"")</f>
        <v/>
      </c>
      <c r="L115" s="482"/>
      <c r="M115" s="159" t="s">
        <v>8</v>
      </c>
    </row>
    <row r="116" spans="2:13" ht="15" customHeight="1" x14ac:dyDescent="0.2">
      <c r="B116" s="797" t="s">
        <v>397</v>
      </c>
      <c r="C116" s="797"/>
      <c r="D116" s="797"/>
      <c r="E116" s="797"/>
      <c r="F116" s="797"/>
      <c r="G116" s="797"/>
      <c r="H116" s="797"/>
      <c r="I116" s="797"/>
      <c r="J116" s="797"/>
      <c r="K116" s="492" t="str">
        <f>IFERROR(IF(L116="","",L116/E43),"")</f>
        <v/>
      </c>
      <c r="L116" s="482"/>
      <c r="M116" s="159" t="s">
        <v>8</v>
      </c>
    </row>
    <row r="117" spans="2:13" ht="15" customHeight="1" x14ac:dyDescent="0.2">
      <c r="B117" s="797" t="s">
        <v>394</v>
      </c>
      <c r="C117" s="797"/>
      <c r="D117" s="797"/>
      <c r="E117" s="797"/>
      <c r="F117" s="797"/>
      <c r="G117" s="797"/>
      <c r="H117" s="797"/>
      <c r="I117" s="797"/>
      <c r="J117" s="797"/>
      <c r="K117" s="492" t="str">
        <f>IFERROR(IF(L117="","",L117/SUM(L48:M52,L41/1000)),"")</f>
        <v/>
      </c>
      <c r="L117" s="482"/>
      <c r="M117" s="159" t="s">
        <v>769</v>
      </c>
    </row>
    <row r="118" spans="2:13" ht="15" customHeight="1" x14ac:dyDescent="0.2">
      <c r="B118" s="797" t="s">
        <v>424</v>
      </c>
      <c r="C118" s="797"/>
      <c r="D118" s="797"/>
      <c r="E118" s="797"/>
      <c r="F118" s="797"/>
      <c r="G118" s="797"/>
      <c r="H118" s="797"/>
      <c r="I118" s="797"/>
      <c r="J118" s="797"/>
      <c r="K118" s="156"/>
      <c r="L118" s="484" t="str">
        <f>IF(E30="","",E30*E31*SQRT(E32)/1000)</f>
        <v/>
      </c>
      <c r="M118" s="159" t="s">
        <v>8</v>
      </c>
    </row>
    <row r="119" spans="2:13" ht="15" customHeight="1" x14ac:dyDescent="0.2">
      <c r="B119" s="797" t="s">
        <v>466</v>
      </c>
      <c r="C119" s="797"/>
      <c r="D119" s="797"/>
      <c r="E119" s="797"/>
      <c r="F119" s="797"/>
      <c r="G119" s="797"/>
      <c r="H119" s="797"/>
      <c r="I119" s="797"/>
      <c r="J119" s="797"/>
      <c r="K119" s="157"/>
      <c r="L119" s="483">
        <f>J32+L35+L115</f>
        <v>0</v>
      </c>
      <c r="M119" s="159" t="s">
        <v>8</v>
      </c>
    </row>
    <row r="120" spans="2:13" ht="15" customHeight="1" x14ac:dyDescent="0.2">
      <c r="B120" s="798" t="str">
        <f>IFERROR(IF(L119&gt;0.8*L118,"BC Hydro will follow up to discuss load impacts on your electric service",""),"")</f>
        <v/>
      </c>
      <c r="C120" s="798"/>
      <c r="D120" s="798"/>
      <c r="E120" s="798"/>
      <c r="F120" s="798"/>
      <c r="G120" s="798"/>
      <c r="H120" s="798"/>
      <c r="I120" s="798"/>
      <c r="J120" s="798"/>
      <c r="K120" s="798"/>
      <c r="L120" s="798"/>
      <c r="M120" s="798"/>
    </row>
    <row r="121" spans="2:13" ht="15" customHeight="1" x14ac:dyDescent="0.2">
      <c r="B121" s="797" t="s">
        <v>866</v>
      </c>
      <c r="C121" s="797"/>
      <c r="D121" s="797"/>
      <c r="E121" s="797"/>
      <c r="F121" s="797"/>
      <c r="G121" s="797"/>
      <c r="H121" s="797"/>
      <c r="I121" s="797"/>
      <c r="J121" s="797"/>
      <c r="K121" s="157"/>
      <c r="L121" s="483" t="str">
        <f>IFERROR(L117*R103,"")</f>
        <v/>
      </c>
      <c r="M121" s="159" t="s">
        <v>770</v>
      </c>
    </row>
    <row r="122" spans="2:13" ht="15" customHeight="1" x14ac:dyDescent="0.2">
      <c r="B122" s="783" t="str">
        <f>IF(L121&lt;1200,"Project may not qualify for incentive as GHG reduction must be equal or greater than 1200 tC02e.","")</f>
        <v/>
      </c>
      <c r="C122" s="783"/>
      <c r="D122" s="783"/>
      <c r="E122" s="783"/>
      <c r="F122" s="783"/>
      <c r="G122" s="783"/>
      <c r="H122" s="783"/>
      <c r="I122" s="783"/>
      <c r="J122" s="783"/>
      <c r="K122" s="783"/>
      <c r="L122" s="783"/>
      <c r="M122" s="783"/>
    </row>
    <row r="123" spans="2:13" ht="15" customHeight="1" x14ac:dyDescent="0.2">
      <c r="B123" s="135"/>
      <c r="C123" s="147"/>
      <c r="D123" s="147"/>
      <c r="E123" s="147"/>
      <c r="F123" s="147"/>
      <c r="G123" s="147"/>
      <c r="H123" s="147"/>
      <c r="I123" s="147"/>
      <c r="J123" s="147"/>
      <c r="K123" s="146"/>
      <c r="L123" s="145"/>
      <c r="M123" s="148"/>
    </row>
    <row r="124" spans="2:13" ht="22.5" customHeight="1" x14ac:dyDescent="0.2">
      <c r="B124" s="730" t="s">
        <v>361</v>
      </c>
      <c r="C124" s="730"/>
      <c r="D124" s="730"/>
      <c r="E124" s="730"/>
      <c r="F124" s="730"/>
      <c r="G124" s="730"/>
      <c r="H124" s="730"/>
      <c r="I124" s="730"/>
      <c r="J124" s="730"/>
      <c r="K124" s="730"/>
      <c r="L124" s="730"/>
      <c r="M124" s="730"/>
    </row>
    <row r="125" spans="2:13" ht="15" customHeight="1" x14ac:dyDescent="0.2">
      <c r="B125" s="800" t="s">
        <v>671</v>
      </c>
      <c r="C125" s="800"/>
      <c r="D125" s="800"/>
      <c r="E125" s="800"/>
      <c r="F125" s="800"/>
      <c r="G125" s="800"/>
      <c r="H125" s="800"/>
      <c r="I125" s="800"/>
      <c r="J125" s="800"/>
      <c r="K125" s="800"/>
      <c r="L125" s="482"/>
      <c r="M125" s="161" t="s">
        <v>233</v>
      </c>
    </row>
    <row r="126" spans="2:13" ht="15" customHeight="1" x14ac:dyDescent="0.2">
      <c r="B126" s="800" t="s">
        <v>418</v>
      </c>
      <c r="C126" s="800"/>
      <c r="D126" s="800"/>
      <c r="E126" s="800"/>
      <c r="F126" s="800"/>
      <c r="G126" s="800"/>
      <c r="H126" s="800"/>
      <c r="I126" s="800"/>
      <c r="J126" s="800"/>
      <c r="K126" s="800" t="e">
        <f>L126/I44</f>
        <v>#DIV/0!</v>
      </c>
      <c r="L126" s="482"/>
      <c r="M126" s="161" t="s">
        <v>234</v>
      </c>
    </row>
    <row r="127" spans="2:13" ht="15" customHeight="1" x14ac:dyDescent="0.2">
      <c r="B127" s="800" t="s">
        <v>398</v>
      </c>
      <c r="C127" s="800"/>
      <c r="D127" s="800"/>
      <c r="E127" s="800"/>
      <c r="F127" s="800"/>
      <c r="G127" s="800"/>
      <c r="H127" s="800"/>
      <c r="I127" s="800"/>
      <c r="J127" s="800"/>
      <c r="K127" s="800"/>
      <c r="L127" s="482"/>
      <c r="M127" s="161" t="s">
        <v>234</v>
      </c>
    </row>
    <row r="128" spans="2:13" ht="15" customHeight="1" x14ac:dyDescent="0.2">
      <c r="B128" s="160"/>
      <c r="C128" s="160"/>
      <c r="D128" s="160"/>
      <c r="E128" s="160"/>
      <c r="F128" s="160"/>
      <c r="G128" s="160"/>
      <c r="H128" s="160"/>
      <c r="I128" s="160"/>
      <c r="J128" s="160"/>
      <c r="K128" s="160"/>
      <c r="L128" s="145"/>
      <c r="M128" s="144"/>
    </row>
    <row r="129" spans="2:13" ht="22.5" customHeight="1" x14ac:dyDescent="0.2">
      <c r="B129" s="730" t="s">
        <v>383</v>
      </c>
      <c r="C129" s="730"/>
      <c r="D129" s="730"/>
      <c r="E129" s="730"/>
      <c r="F129" s="730"/>
      <c r="G129" s="730"/>
      <c r="H129" s="730"/>
      <c r="I129" s="730"/>
      <c r="J129" s="730"/>
      <c r="K129" s="730"/>
      <c r="L129" s="730"/>
      <c r="M129" s="730"/>
    </row>
    <row r="130" spans="2:13" ht="15" customHeight="1" x14ac:dyDescent="0.2">
      <c r="B130" s="800" t="s">
        <v>406</v>
      </c>
      <c r="C130" s="800"/>
      <c r="D130" s="800"/>
      <c r="E130" s="800"/>
      <c r="F130" s="800"/>
      <c r="G130" s="800"/>
      <c r="H130" s="800"/>
      <c r="I130" s="800"/>
      <c r="J130" s="800"/>
      <c r="K130" s="800"/>
      <c r="L130" s="800"/>
      <c r="M130" s="800"/>
    </row>
    <row r="131" spans="2:13" ht="15" customHeight="1" x14ac:dyDescent="0.2">
      <c r="B131" s="736"/>
      <c r="C131" s="737"/>
      <c r="D131" s="737"/>
      <c r="E131" s="737"/>
      <c r="F131" s="737"/>
      <c r="G131" s="737"/>
      <c r="H131" s="737"/>
      <c r="I131" s="737"/>
      <c r="J131" s="737"/>
      <c r="K131" s="737"/>
      <c r="L131" s="737"/>
      <c r="M131" s="737"/>
    </row>
    <row r="132" spans="2:13" ht="15" customHeight="1" x14ac:dyDescent="0.2">
      <c r="B132" s="737"/>
      <c r="C132" s="737"/>
      <c r="D132" s="737"/>
      <c r="E132" s="737"/>
      <c r="F132" s="737"/>
      <c r="G132" s="737"/>
      <c r="H132" s="737"/>
      <c r="I132" s="737"/>
      <c r="J132" s="737"/>
      <c r="K132" s="737"/>
      <c r="L132" s="737"/>
      <c r="M132" s="737"/>
    </row>
    <row r="133" spans="2:13" ht="15" customHeight="1" x14ac:dyDescent="0.2">
      <c r="B133" s="737"/>
      <c r="C133" s="737"/>
      <c r="D133" s="737"/>
      <c r="E133" s="737"/>
      <c r="F133" s="737"/>
      <c r="G133" s="737"/>
      <c r="H133" s="737"/>
      <c r="I133" s="737"/>
      <c r="J133" s="737"/>
      <c r="K133" s="737"/>
      <c r="L133" s="737"/>
      <c r="M133" s="737"/>
    </row>
    <row r="134" spans="2:13" ht="15" customHeight="1" x14ac:dyDescent="0.2">
      <c r="B134" s="800" t="s">
        <v>399</v>
      </c>
      <c r="C134" s="800"/>
      <c r="D134" s="800"/>
      <c r="E134" s="800"/>
      <c r="F134" s="800"/>
      <c r="G134" s="800"/>
      <c r="H134" s="800"/>
      <c r="I134" s="800"/>
      <c r="J134" s="800"/>
      <c r="K134" s="800"/>
      <c r="L134" s="800"/>
      <c r="M134" s="800"/>
    </row>
    <row r="135" spans="2:13" ht="15" customHeight="1" x14ac:dyDescent="0.2">
      <c r="B135" s="736"/>
      <c r="C135" s="737"/>
      <c r="D135" s="737"/>
      <c r="E135" s="737"/>
      <c r="F135" s="737"/>
      <c r="G135" s="737"/>
      <c r="H135" s="737"/>
      <c r="I135" s="737"/>
      <c r="J135" s="737"/>
      <c r="K135" s="737"/>
      <c r="L135" s="737"/>
      <c r="M135" s="737"/>
    </row>
    <row r="136" spans="2:13" ht="15" customHeight="1" x14ac:dyDescent="0.2">
      <c r="B136" s="737"/>
      <c r="C136" s="737"/>
      <c r="D136" s="737"/>
      <c r="E136" s="737"/>
      <c r="F136" s="737"/>
      <c r="G136" s="737"/>
      <c r="H136" s="737"/>
      <c r="I136" s="737"/>
      <c r="J136" s="737"/>
      <c r="K136" s="737"/>
      <c r="L136" s="737"/>
      <c r="M136" s="737"/>
    </row>
    <row r="137" spans="2:13" ht="15" customHeight="1" x14ac:dyDescent="0.2">
      <c r="B137" s="737"/>
      <c r="C137" s="737"/>
      <c r="D137" s="737"/>
      <c r="E137" s="737"/>
      <c r="F137" s="737"/>
      <c r="G137" s="737"/>
      <c r="H137" s="737"/>
      <c r="I137" s="737"/>
      <c r="J137" s="737"/>
      <c r="K137" s="737"/>
      <c r="L137" s="737"/>
      <c r="M137" s="737"/>
    </row>
    <row r="138" spans="2:13" ht="15" customHeight="1" x14ac:dyDescent="0.2">
      <c r="B138" s="800" t="s">
        <v>469</v>
      </c>
      <c r="C138" s="800"/>
      <c r="D138" s="800"/>
      <c r="E138" s="800"/>
      <c r="F138" s="800"/>
      <c r="G138" s="800"/>
      <c r="H138" s="800"/>
      <c r="I138" s="800"/>
      <c r="J138" s="800"/>
      <c r="K138" s="800"/>
      <c r="L138" s="800"/>
      <c r="M138" s="800"/>
    </row>
    <row r="139" spans="2:13" ht="15" customHeight="1" x14ac:dyDescent="0.2">
      <c r="B139" s="736"/>
      <c r="C139" s="737"/>
      <c r="D139" s="737"/>
      <c r="E139" s="737"/>
      <c r="F139" s="737"/>
      <c r="G139" s="737"/>
      <c r="H139" s="737"/>
      <c r="I139" s="737"/>
      <c r="J139" s="737"/>
      <c r="K139" s="737"/>
      <c r="L139" s="737"/>
      <c r="M139" s="737"/>
    </row>
    <row r="140" spans="2:13" ht="15" customHeight="1" x14ac:dyDescent="0.2">
      <c r="B140" s="737"/>
      <c r="C140" s="737"/>
      <c r="D140" s="737"/>
      <c r="E140" s="737"/>
      <c r="F140" s="737"/>
      <c r="G140" s="737"/>
      <c r="H140" s="737"/>
      <c r="I140" s="737"/>
      <c r="J140" s="737"/>
      <c r="K140" s="737"/>
      <c r="L140" s="737"/>
      <c r="M140" s="737"/>
    </row>
    <row r="141" spans="2:13" ht="15" customHeight="1" x14ac:dyDescent="0.2">
      <c r="B141" s="737"/>
      <c r="C141" s="737"/>
      <c r="D141" s="737"/>
      <c r="E141" s="737"/>
      <c r="F141" s="737"/>
      <c r="G141" s="737"/>
      <c r="H141" s="737"/>
      <c r="I141" s="737"/>
      <c r="J141" s="737"/>
      <c r="K141" s="737"/>
      <c r="L141" s="737"/>
      <c r="M141" s="737"/>
    </row>
    <row r="142" spans="2:13" ht="15" customHeight="1" x14ac:dyDescent="0.2">
      <c r="B142" s="184"/>
      <c r="C142" s="184"/>
      <c r="D142" s="184"/>
      <c r="E142" s="184"/>
      <c r="F142" s="184"/>
      <c r="G142" s="184"/>
      <c r="H142" s="184"/>
      <c r="I142" s="184"/>
      <c r="J142" s="184"/>
      <c r="K142" s="184"/>
      <c r="L142" s="184"/>
      <c r="M142" s="184"/>
    </row>
    <row r="143" spans="2:13" ht="22.5" customHeight="1" x14ac:dyDescent="0.2">
      <c r="B143" s="730" t="s">
        <v>672</v>
      </c>
      <c r="C143" s="730"/>
      <c r="D143" s="730"/>
      <c r="E143" s="730"/>
      <c r="F143" s="730"/>
      <c r="G143" s="730"/>
      <c r="H143" s="730"/>
      <c r="I143" s="730"/>
      <c r="J143" s="730"/>
      <c r="K143" s="730"/>
      <c r="L143" s="730"/>
      <c r="M143" s="730"/>
    </row>
    <row r="144" spans="2:13" ht="15" customHeight="1" x14ac:dyDescent="0.2">
      <c r="B144" s="738" t="s">
        <v>400</v>
      </c>
      <c r="C144" s="738"/>
      <c r="D144" s="738"/>
      <c r="E144" s="738"/>
      <c r="F144" s="738"/>
      <c r="G144" s="738"/>
      <c r="H144" s="738"/>
      <c r="I144" s="738"/>
      <c r="J144" s="738"/>
      <c r="K144" s="738"/>
      <c r="L144" s="738"/>
      <c r="M144" s="738"/>
    </row>
    <row r="145" spans="2:13" ht="15" customHeight="1" x14ac:dyDescent="0.2">
      <c r="B145" s="736"/>
      <c r="C145" s="737"/>
      <c r="D145" s="737"/>
      <c r="E145" s="737"/>
      <c r="F145" s="737"/>
      <c r="G145" s="737"/>
      <c r="H145" s="737"/>
      <c r="I145" s="737"/>
      <c r="J145" s="737"/>
      <c r="K145" s="737"/>
      <c r="L145" s="737"/>
      <c r="M145" s="737"/>
    </row>
    <row r="146" spans="2:13" ht="15" customHeight="1" x14ac:dyDescent="0.2">
      <c r="B146" s="737"/>
      <c r="C146" s="737"/>
      <c r="D146" s="737"/>
      <c r="E146" s="737"/>
      <c r="F146" s="737"/>
      <c r="G146" s="737"/>
      <c r="H146" s="737"/>
      <c r="I146" s="737"/>
      <c r="J146" s="737"/>
      <c r="K146" s="737"/>
      <c r="L146" s="737"/>
      <c r="M146" s="737"/>
    </row>
    <row r="147" spans="2:13" ht="15" customHeight="1" x14ac:dyDescent="0.2">
      <c r="B147" s="737"/>
      <c r="C147" s="737"/>
      <c r="D147" s="737"/>
      <c r="E147" s="737"/>
      <c r="F147" s="737"/>
      <c r="G147" s="737"/>
      <c r="H147" s="737"/>
      <c r="I147" s="737"/>
      <c r="J147" s="737"/>
      <c r="K147" s="737"/>
      <c r="L147" s="737"/>
      <c r="M147" s="737"/>
    </row>
    <row r="148" spans="2:13" ht="15" customHeight="1" x14ac:dyDescent="0.2">
      <c r="B148" s="737"/>
      <c r="C148" s="737"/>
      <c r="D148" s="737"/>
      <c r="E148" s="737"/>
      <c r="F148" s="737"/>
      <c r="G148" s="737"/>
      <c r="H148" s="737"/>
      <c r="I148" s="737"/>
      <c r="J148" s="737"/>
      <c r="K148" s="737"/>
      <c r="L148" s="737"/>
      <c r="M148" s="737"/>
    </row>
    <row r="149" spans="2:13" ht="15" customHeight="1" x14ac:dyDescent="0.2">
      <c r="B149" s="738" t="s">
        <v>235</v>
      </c>
      <c r="C149" s="738"/>
      <c r="D149" s="738"/>
      <c r="E149" s="738"/>
      <c r="F149" s="738"/>
      <c r="G149" s="738"/>
      <c r="H149" s="738"/>
      <c r="I149" s="738"/>
      <c r="J149" s="738"/>
      <c r="K149" s="738"/>
      <c r="L149" s="738"/>
      <c r="M149" s="738"/>
    </row>
    <row r="150" spans="2:13" ht="15" customHeight="1" x14ac:dyDescent="0.2">
      <c r="B150" s="736"/>
      <c r="C150" s="737"/>
      <c r="D150" s="737"/>
      <c r="E150" s="737"/>
      <c r="F150" s="737"/>
      <c r="G150" s="737"/>
      <c r="H150" s="737"/>
      <c r="I150" s="737"/>
      <c r="J150" s="737"/>
      <c r="K150" s="737"/>
      <c r="L150" s="737"/>
      <c r="M150" s="737"/>
    </row>
    <row r="151" spans="2:13" ht="15" customHeight="1" x14ac:dyDescent="0.2">
      <c r="B151" s="737"/>
      <c r="C151" s="737"/>
      <c r="D151" s="737"/>
      <c r="E151" s="737"/>
      <c r="F151" s="737"/>
      <c r="G151" s="737"/>
      <c r="H151" s="737"/>
      <c r="I151" s="737"/>
      <c r="J151" s="737"/>
      <c r="K151" s="737"/>
      <c r="L151" s="737"/>
      <c r="M151" s="737"/>
    </row>
    <row r="152" spans="2:13" ht="15" customHeight="1" x14ac:dyDescent="0.2">
      <c r="B152" s="737"/>
      <c r="C152" s="737"/>
      <c r="D152" s="737"/>
      <c r="E152" s="737"/>
      <c r="F152" s="737"/>
      <c r="G152" s="737"/>
      <c r="H152" s="737"/>
      <c r="I152" s="737"/>
      <c r="J152" s="737"/>
      <c r="K152" s="737"/>
      <c r="L152" s="737"/>
      <c r="M152" s="737"/>
    </row>
    <row r="153" spans="2:13" ht="15" customHeight="1" x14ac:dyDescent="0.2">
      <c r="B153" s="737"/>
      <c r="C153" s="737"/>
      <c r="D153" s="737"/>
      <c r="E153" s="737"/>
      <c r="F153" s="737"/>
      <c r="G153" s="737"/>
      <c r="H153" s="737"/>
      <c r="I153" s="737"/>
      <c r="J153" s="737"/>
      <c r="K153" s="737"/>
      <c r="L153" s="737"/>
      <c r="M153" s="737"/>
    </row>
    <row r="154" spans="2:13" ht="15" customHeight="1" x14ac:dyDescent="0.2">
      <c r="B154" s="792" t="s">
        <v>673</v>
      </c>
      <c r="C154" s="792"/>
      <c r="D154" s="792"/>
      <c r="E154" s="792"/>
      <c r="F154" s="792"/>
      <c r="G154" s="792"/>
      <c r="H154" s="792"/>
      <c r="I154" s="792"/>
      <c r="J154" s="792"/>
      <c r="K154" s="792"/>
      <c r="L154" s="792"/>
      <c r="M154" s="792"/>
    </row>
    <row r="155" spans="2:13" ht="15" customHeight="1" x14ac:dyDescent="0.2">
      <c r="B155" s="737"/>
      <c r="C155" s="737"/>
      <c r="D155" s="737"/>
      <c r="E155" s="737"/>
      <c r="F155" s="737"/>
      <c r="G155" s="737"/>
      <c r="H155" s="737"/>
      <c r="I155" s="737"/>
      <c r="J155" s="737"/>
      <c r="K155" s="737"/>
      <c r="L155" s="737"/>
      <c r="M155" s="737"/>
    </row>
    <row r="156" spans="2:13" ht="15" customHeight="1" x14ac:dyDescent="0.2">
      <c r="B156" s="737"/>
      <c r="C156" s="737"/>
      <c r="D156" s="737"/>
      <c r="E156" s="737"/>
      <c r="F156" s="737"/>
      <c r="G156" s="737"/>
      <c r="H156" s="737"/>
      <c r="I156" s="737"/>
      <c r="J156" s="737"/>
      <c r="K156" s="737"/>
      <c r="L156" s="737"/>
      <c r="M156" s="737"/>
    </row>
    <row r="157" spans="2:13" ht="15" customHeight="1" x14ac:dyDescent="0.2">
      <c r="B157" s="737"/>
      <c r="C157" s="737"/>
      <c r="D157" s="737"/>
      <c r="E157" s="737"/>
      <c r="F157" s="737"/>
      <c r="G157" s="737"/>
      <c r="H157" s="737"/>
      <c r="I157" s="737"/>
      <c r="J157" s="737"/>
      <c r="K157" s="737"/>
      <c r="L157" s="737"/>
      <c r="M157" s="737"/>
    </row>
    <row r="158" spans="2:13" ht="15" customHeight="1" x14ac:dyDescent="0.2">
      <c r="B158" s="188"/>
      <c r="C158" s="188"/>
      <c r="D158" s="188"/>
      <c r="E158" s="188"/>
      <c r="F158" s="188"/>
      <c r="G158" s="188"/>
      <c r="H158" s="188"/>
      <c r="I158" s="188"/>
      <c r="J158" s="188"/>
      <c r="K158" s="188"/>
      <c r="L158" s="188"/>
      <c r="M158" s="188"/>
    </row>
    <row r="159" spans="2:13" ht="22.5" customHeight="1" x14ac:dyDescent="0.2">
      <c r="B159" s="730" t="s">
        <v>675</v>
      </c>
      <c r="C159" s="730"/>
      <c r="D159" s="730"/>
      <c r="E159" s="730"/>
      <c r="F159" s="730"/>
      <c r="G159" s="730"/>
      <c r="H159" s="730"/>
      <c r="I159" s="730"/>
      <c r="J159" s="730"/>
      <c r="K159" s="730"/>
      <c r="L159" s="730"/>
      <c r="M159" s="730"/>
    </row>
    <row r="160" spans="2:13" s="183" customFormat="1" ht="15" customHeight="1" x14ac:dyDescent="0.2">
      <c r="B160" s="793" t="s">
        <v>809</v>
      </c>
      <c r="C160" s="793"/>
      <c r="D160" s="793"/>
      <c r="E160" s="793"/>
      <c r="F160" s="793"/>
      <c r="G160" s="793"/>
      <c r="H160" s="793"/>
      <c r="I160" s="793"/>
      <c r="J160" s="793"/>
      <c r="K160" s="793"/>
      <c r="L160" s="793"/>
      <c r="M160" s="793"/>
    </row>
    <row r="161" spans="2:13" s="183" customFormat="1" ht="15" customHeight="1" x14ac:dyDescent="0.2">
      <c r="B161" s="793"/>
      <c r="C161" s="793"/>
      <c r="D161" s="793"/>
      <c r="E161" s="793"/>
      <c r="F161" s="793"/>
      <c r="G161" s="793"/>
      <c r="H161" s="793"/>
      <c r="I161" s="793"/>
      <c r="J161" s="793"/>
      <c r="K161" s="793"/>
      <c r="L161" s="793"/>
      <c r="M161" s="793"/>
    </row>
    <row r="162" spans="2:13" s="183" customFormat="1" ht="15" customHeight="1" x14ac:dyDescent="0.2">
      <c r="B162" s="793"/>
      <c r="C162" s="793"/>
      <c r="D162" s="793"/>
      <c r="E162" s="793"/>
      <c r="F162" s="793"/>
      <c r="G162" s="793"/>
      <c r="H162" s="793"/>
      <c r="I162" s="793"/>
      <c r="J162" s="793"/>
      <c r="K162" s="793"/>
      <c r="L162" s="793"/>
      <c r="M162" s="793"/>
    </row>
    <row r="163" spans="2:13" s="183" customFormat="1" ht="15" customHeight="1" x14ac:dyDescent="0.2">
      <c r="B163" s="793"/>
      <c r="C163" s="793"/>
      <c r="D163" s="793"/>
      <c r="E163" s="793"/>
      <c r="F163" s="793"/>
      <c r="G163" s="793"/>
      <c r="H163" s="793"/>
      <c r="I163" s="793"/>
      <c r="J163" s="793"/>
      <c r="K163" s="793"/>
      <c r="L163" s="793"/>
      <c r="M163" s="793"/>
    </row>
    <row r="164" spans="2:13" s="183" customFormat="1" ht="15" customHeight="1" x14ac:dyDescent="0.2">
      <c r="B164" s="181"/>
      <c r="C164" s="181"/>
      <c r="D164" s="181"/>
      <c r="E164" s="181"/>
      <c r="F164" s="181"/>
      <c r="G164" s="181"/>
      <c r="H164" s="181"/>
      <c r="I164" s="181"/>
      <c r="J164" s="181"/>
      <c r="K164" s="181"/>
      <c r="L164" s="181"/>
      <c r="M164" s="181"/>
    </row>
    <row r="165" spans="2:13" ht="22.5" customHeight="1" x14ac:dyDescent="0.2">
      <c r="B165" s="771" t="s">
        <v>674</v>
      </c>
      <c r="C165" s="771"/>
      <c r="D165" s="771"/>
      <c r="E165" s="771"/>
      <c r="F165" s="771"/>
      <c r="G165" s="771"/>
      <c r="H165" s="771"/>
      <c r="I165" s="771"/>
      <c r="J165" s="771"/>
      <c r="K165" s="771"/>
      <c r="L165" s="771"/>
      <c r="M165" s="771"/>
    </row>
    <row r="166" spans="2:13" s="183" customFormat="1" ht="15" customHeight="1" x14ac:dyDescent="0.2">
      <c r="B166" s="794" t="s">
        <v>774</v>
      </c>
      <c r="C166" s="795"/>
      <c r="D166" s="795"/>
      <c r="E166" s="795"/>
      <c r="F166" s="795"/>
      <c r="G166" s="795"/>
      <c r="H166" s="795"/>
      <c r="I166" s="795"/>
      <c r="J166" s="795"/>
      <c r="K166" s="795"/>
      <c r="L166" s="795"/>
      <c r="M166" s="795"/>
    </row>
    <row r="167" spans="2:13" s="183" customFormat="1" ht="15" customHeight="1" x14ac:dyDescent="0.2">
      <c r="B167" s="795"/>
      <c r="C167" s="795"/>
      <c r="D167" s="795"/>
      <c r="E167" s="795"/>
      <c r="F167" s="795"/>
      <c r="G167" s="795"/>
      <c r="H167" s="795"/>
      <c r="I167" s="795"/>
      <c r="J167" s="795"/>
      <c r="K167" s="795"/>
      <c r="L167" s="795"/>
      <c r="M167" s="795"/>
    </row>
    <row r="168" spans="2:13" s="183" customFormat="1" ht="15" customHeight="1" x14ac:dyDescent="0.2">
      <c r="B168" s="795"/>
      <c r="C168" s="795"/>
      <c r="D168" s="795"/>
      <c r="E168" s="795"/>
      <c r="F168" s="795"/>
      <c r="G168" s="795"/>
      <c r="H168" s="795"/>
      <c r="I168" s="795"/>
      <c r="J168" s="795"/>
      <c r="K168" s="795"/>
      <c r="L168" s="795"/>
      <c r="M168" s="795"/>
    </row>
    <row r="169" spans="2:13" s="183" customFormat="1" ht="15" customHeight="1" x14ac:dyDescent="0.2">
      <c r="B169" s="795"/>
      <c r="C169" s="795"/>
      <c r="D169" s="795"/>
      <c r="E169" s="795"/>
      <c r="F169" s="795"/>
      <c r="G169" s="795"/>
      <c r="H169" s="795"/>
      <c r="I169" s="795"/>
      <c r="J169" s="795"/>
      <c r="K169" s="795"/>
      <c r="L169" s="795"/>
      <c r="M169" s="795"/>
    </row>
    <row r="170" spans="2:13" s="183" customFormat="1" ht="15" customHeight="1" x14ac:dyDescent="0.2">
      <c r="B170" s="790"/>
      <c r="C170" s="791"/>
      <c r="D170" s="791"/>
      <c r="E170" s="791"/>
      <c r="F170" s="791"/>
      <c r="G170" s="791"/>
      <c r="H170" s="791"/>
      <c r="I170" s="791"/>
      <c r="J170" s="791"/>
      <c r="K170" s="791"/>
      <c r="L170" s="791"/>
      <c r="M170" s="791"/>
    </row>
    <row r="171" spans="2:13" s="183" customFormat="1" ht="15" customHeight="1" x14ac:dyDescent="0.2">
      <c r="B171" s="791"/>
      <c r="C171" s="791"/>
      <c r="D171" s="791"/>
      <c r="E171" s="791"/>
      <c r="F171" s="791"/>
      <c r="G171" s="791"/>
      <c r="H171" s="791"/>
      <c r="I171" s="791"/>
      <c r="J171" s="791"/>
      <c r="K171" s="791"/>
      <c r="L171" s="791"/>
      <c r="M171" s="791"/>
    </row>
    <row r="172" spans="2:13" s="183" customFormat="1" ht="15" customHeight="1" x14ac:dyDescent="0.2">
      <c r="B172" s="791"/>
      <c r="C172" s="791"/>
      <c r="D172" s="791"/>
      <c r="E172" s="791"/>
      <c r="F172" s="791"/>
      <c r="G172" s="791"/>
      <c r="H172" s="791"/>
      <c r="I172" s="791"/>
      <c r="J172" s="791"/>
      <c r="K172" s="791"/>
      <c r="L172" s="791"/>
      <c r="M172" s="791"/>
    </row>
    <row r="173" spans="2:13" s="183" customFormat="1" ht="15" customHeight="1" x14ac:dyDescent="0.2">
      <c r="B173" s="791"/>
      <c r="C173" s="791"/>
      <c r="D173" s="791"/>
      <c r="E173" s="791"/>
      <c r="F173" s="791"/>
      <c r="G173" s="791"/>
      <c r="H173" s="791"/>
      <c r="I173" s="791"/>
      <c r="J173" s="791"/>
      <c r="K173" s="791"/>
      <c r="L173" s="791"/>
      <c r="M173" s="791"/>
    </row>
    <row r="174" spans="2:13" s="183" customFormat="1" ht="15" customHeight="1" x14ac:dyDescent="0.2">
      <c r="B174" s="791"/>
      <c r="C174" s="791"/>
      <c r="D174" s="791"/>
      <c r="E174" s="791"/>
      <c r="F174" s="791"/>
      <c r="G174" s="791"/>
      <c r="H174" s="791"/>
      <c r="I174" s="791"/>
      <c r="J174" s="791"/>
      <c r="K174" s="791"/>
      <c r="L174" s="791"/>
      <c r="M174" s="791"/>
    </row>
    <row r="175" spans="2:13" s="183" customFormat="1" ht="15" customHeight="1" x14ac:dyDescent="0.2">
      <c r="B175" s="791"/>
      <c r="C175" s="791"/>
      <c r="D175" s="791"/>
      <c r="E175" s="791"/>
      <c r="F175" s="791"/>
      <c r="G175" s="791"/>
      <c r="H175" s="791"/>
      <c r="I175" s="791"/>
      <c r="J175" s="791"/>
      <c r="K175" s="791"/>
      <c r="L175" s="791"/>
      <c r="M175" s="791"/>
    </row>
    <row r="176" spans="2:13" s="183" customFormat="1" ht="15" customHeight="1" x14ac:dyDescent="0.2">
      <c r="B176" s="791"/>
      <c r="C176" s="791"/>
      <c r="D176" s="791"/>
      <c r="E176" s="791"/>
      <c r="F176" s="791"/>
      <c r="G176" s="791"/>
      <c r="H176" s="791"/>
      <c r="I176" s="791"/>
      <c r="J176" s="791"/>
      <c r="K176" s="791"/>
      <c r="L176" s="791"/>
      <c r="M176" s="791"/>
    </row>
    <row r="177" spans="2:13" s="183" customFormat="1" ht="15" customHeight="1" x14ac:dyDescent="0.2">
      <c r="B177" s="791"/>
      <c r="C177" s="791"/>
      <c r="D177" s="791"/>
      <c r="E177" s="791"/>
      <c r="F177" s="791"/>
      <c r="G177" s="791"/>
      <c r="H177" s="791"/>
      <c r="I177" s="791"/>
      <c r="J177" s="791"/>
      <c r="K177" s="791"/>
      <c r="L177" s="791"/>
      <c r="M177" s="791"/>
    </row>
    <row r="178" spans="2:13" s="183" customFormat="1" ht="15" customHeight="1" x14ac:dyDescent="0.2">
      <c r="B178" s="791"/>
      <c r="C178" s="791"/>
      <c r="D178" s="791"/>
      <c r="E178" s="791"/>
      <c r="F178" s="791"/>
      <c r="G178" s="791"/>
      <c r="H178" s="791"/>
      <c r="I178" s="791"/>
      <c r="J178" s="791"/>
      <c r="K178" s="791"/>
      <c r="L178" s="791"/>
      <c r="M178" s="791"/>
    </row>
    <row r="179" spans="2:13" s="183" customFormat="1" ht="15" customHeight="1" x14ac:dyDescent="0.2">
      <c r="B179" s="791"/>
      <c r="C179" s="791"/>
      <c r="D179" s="791"/>
      <c r="E179" s="791"/>
      <c r="F179" s="791"/>
      <c r="G179" s="791"/>
      <c r="H179" s="791"/>
      <c r="I179" s="791"/>
      <c r="J179" s="791"/>
      <c r="K179" s="791"/>
      <c r="L179" s="791"/>
      <c r="M179" s="791"/>
    </row>
    <row r="180" spans="2:13" ht="15" customHeight="1" x14ac:dyDescent="0.2">
      <c r="B180" s="791"/>
      <c r="C180" s="791"/>
      <c r="D180" s="791"/>
      <c r="E180" s="791"/>
      <c r="F180" s="791"/>
      <c r="G180" s="791"/>
      <c r="H180" s="791"/>
      <c r="I180" s="791"/>
      <c r="J180" s="791"/>
      <c r="K180" s="791"/>
      <c r="L180" s="791"/>
      <c r="M180" s="791"/>
    </row>
    <row r="181" spans="2:13" ht="15" customHeight="1" x14ac:dyDescent="0.2">
      <c r="B181" s="791"/>
      <c r="C181" s="791"/>
      <c r="D181" s="791"/>
      <c r="E181" s="791"/>
      <c r="F181" s="791"/>
      <c r="G181" s="791"/>
      <c r="H181" s="791"/>
      <c r="I181" s="791"/>
      <c r="J181" s="791"/>
      <c r="K181" s="791"/>
      <c r="L181" s="791"/>
      <c r="M181" s="791"/>
    </row>
    <row r="182" spans="2:13" ht="15" customHeight="1" x14ac:dyDescent="0.2">
      <c r="B182" s="791"/>
      <c r="C182" s="791"/>
      <c r="D182" s="791"/>
      <c r="E182" s="791"/>
      <c r="F182" s="791"/>
      <c r="G182" s="791"/>
      <c r="H182" s="791"/>
      <c r="I182" s="791"/>
      <c r="J182" s="791"/>
      <c r="K182" s="791"/>
      <c r="L182" s="791"/>
      <c r="M182" s="791"/>
    </row>
    <row r="183" spans="2:13" ht="15" customHeight="1" x14ac:dyDescent="0.2">
      <c r="B183" s="791"/>
      <c r="C183" s="791"/>
      <c r="D183" s="791"/>
      <c r="E183" s="791"/>
      <c r="F183" s="791"/>
      <c r="G183" s="791"/>
      <c r="H183" s="791"/>
      <c r="I183" s="791"/>
      <c r="J183" s="791"/>
      <c r="K183" s="791"/>
      <c r="L183" s="791"/>
      <c r="M183" s="791"/>
    </row>
    <row r="184" spans="2:13" ht="15" customHeight="1" x14ac:dyDescent="0.2">
      <c r="B184" s="791"/>
      <c r="C184" s="791"/>
      <c r="D184" s="791"/>
      <c r="E184" s="791"/>
      <c r="F184" s="791"/>
      <c r="G184" s="791"/>
      <c r="H184" s="791"/>
      <c r="I184" s="791"/>
      <c r="J184" s="791"/>
      <c r="K184" s="791"/>
      <c r="L184" s="791"/>
      <c r="M184" s="791"/>
    </row>
    <row r="185" spans="2:13" ht="15" customHeight="1" x14ac:dyDescent="0.2">
      <c r="B185" s="791"/>
      <c r="C185" s="791"/>
      <c r="D185" s="791"/>
      <c r="E185" s="791"/>
      <c r="F185" s="791"/>
      <c r="G185" s="791"/>
      <c r="H185" s="791"/>
      <c r="I185" s="791"/>
      <c r="J185" s="791"/>
      <c r="K185" s="791"/>
      <c r="L185" s="791"/>
      <c r="M185" s="791"/>
    </row>
    <row r="186" spans="2:13" ht="15" customHeight="1" x14ac:dyDescent="0.2">
      <c r="B186" s="791"/>
      <c r="C186" s="791"/>
      <c r="D186" s="791"/>
      <c r="E186" s="791"/>
      <c r="F186" s="791"/>
      <c r="G186" s="791"/>
      <c r="H186" s="791"/>
      <c r="I186" s="791"/>
      <c r="J186" s="791"/>
      <c r="K186" s="791"/>
      <c r="L186" s="791"/>
      <c r="M186" s="791"/>
    </row>
    <row r="187" spans="2:13" ht="15" customHeight="1" x14ac:dyDescent="0.2">
      <c r="B187" s="791"/>
      <c r="C187" s="791"/>
      <c r="D187" s="791"/>
      <c r="E187" s="791"/>
      <c r="F187" s="791"/>
      <c r="G187" s="791"/>
      <c r="H187" s="791"/>
      <c r="I187" s="791"/>
      <c r="J187" s="791"/>
      <c r="K187" s="791"/>
      <c r="L187" s="791"/>
      <c r="M187" s="791"/>
    </row>
    <row r="188" spans="2:13" ht="15" customHeight="1" x14ac:dyDescent="0.2">
      <c r="B188" s="791"/>
      <c r="C188" s="791"/>
      <c r="D188" s="791"/>
      <c r="E188" s="791"/>
      <c r="F188" s="791"/>
      <c r="G188" s="791"/>
      <c r="H188" s="791"/>
      <c r="I188" s="791"/>
      <c r="J188" s="791"/>
      <c r="K188" s="791"/>
      <c r="L188" s="791"/>
      <c r="M188" s="791"/>
    </row>
    <row r="189" spans="2:13" ht="15" customHeight="1" x14ac:dyDescent="0.2">
      <c r="B189" s="791"/>
      <c r="C189" s="791"/>
      <c r="D189" s="791"/>
      <c r="E189" s="791"/>
      <c r="F189" s="791"/>
      <c r="G189" s="791"/>
      <c r="H189" s="791"/>
      <c r="I189" s="791"/>
      <c r="J189" s="791"/>
      <c r="K189" s="791"/>
      <c r="L189" s="791"/>
      <c r="M189" s="791"/>
    </row>
    <row r="190" spans="2:13" ht="15" customHeight="1" x14ac:dyDescent="0.2">
      <c r="B190" s="791"/>
      <c r="C190" s="791"/>
      <c r="D190" s="791"/>
      <c r="E190" s="791"/>
      <c r="F190" s="791"/>
      <c r="G190" s="791"/>
      <c r="H190" s="791"/>
      <c r="I190" s="791"/>
      <c r="J190" s="791"/>
      <c r="K190" s="791"/>
      <c r="L190" s="791"/>
      <c r="M190" s="791"/>
    </row>
    <row r="191" spans="2:13" ht="15" customHeight="1" x14ac:dyDescent="0.2">
      <c r="B191" s="791"/>
      <c r="C191" s="791"/>
      <c r="D191" s="791"/>
      <c r="E191" s="791"/>
      <c r="F191" s="791"/>
      <c r="G191" s="791"/>
      <c r="H191" s="791"/>
      <c r="I191" s="791"/>
      <c r="J191" s="791"/>
      <c r="K191" s="791"/>
      <c r="L191" s="791"/>
      <c r="M191" s="791"/>
    </row>
    <row r="192" spans="2:13" ht="15" customHeight="1" x14ac:dyDescent="0.2">
      <c r="B192" s="791"/>
      <c r="C192" s="791"/>
      <c r="D192" s="791"/>
      <c r="E192" s="791"/>
      <c r="F192" s="791"/>
      <c r="G192" s="791"/>
      <c r="H192" s="791"/>
      <c r="I192" s="791"/>
      <c r="J192" s="791"/>
      <c r="K192" s="791"/>
      <c r="L192" s="791"/>
      <c r="M192" s="791"/>
    </row>
    <row r="193" spans="2:13" ht="15" customHeight="1" x14ac:dyDescent="0.2">
      <c r="B193" s="791"/>
      <c r="C193" s="791"/>
      <c r="D193" s="791"/>
      <c r="E193" s="791"/>
      <c r="F193" s="791"/>
      <c r="G193" s="791"/>
      <c r="H193" s="791"/>
      <c r="I193" s="791"/>
      <c r="J193" s="791"/>
      <c r="K193" s="791"/>
      <c r="L193" s="791"/>
      <c r="M193" s="791"/>
    </row>
    <row r="194" spans="2:13" ht="15" customHeight="1" x14ac:dyDescent="0.2">
      <c r="B194" s="791"/>
      <c r="C194" s="791"/>
      <c r="D194" s="791"/>
      <c r="E194" s="791"/>
      <c r="F194" s="791"/>
      <c r="G194" s="791"/>
      <c r="H194" s="791"/>
      <c r="I194" s="791"/>
      <c r="J194" s="791"/>
      <c r="K194" s="791"/>
      <c r="L194" s="791"/>
      <c r="M194" s="791"/>
    </row>
    <row r="195" spans="2:13" ht="15" customHeight="1" x14ac:dyDescent="0.2">
      <c r="B195" s="791"/>
      <c r="C195" s="791"/>
      <c r="D195" s="791"/>
      <c r="E195" s="791"/>
      <c r="F195" s="791"/>
      <c r="G195" s="791"/>
      <c r="H195" s="791"/>
      <c r="I195" s="791"/>
      <c r="J195" s="791"/>
      <c r="K195" s="791"/>
      <c r="L195" s="791"/>
      <c r="M195" s="791"/>
    </row>
    <row r="196" spans="2:13" ht="15" customHeight="1" x14ac:dyDescent="0.2"/>
    <row r="197" spans="2:13" ht="15" customHeight="1" x14ac:dyDescent="0.2"/>
    <row r="198" spans="2:13" ht="15" customHeight="1" x14ac:dyDescent="0.2"/>
    <row r="199" spans="2:13" ht="15" customHeight="1" x14ac:dyDescent="0.2">
      <c r="B199" s="802" t="s">
        <v>697</v>
      </c>
      <c r="C199" s="802"/>
      <c r="D199" s="802"/>
      <c r="E199" s="802"/>
      <c r="F199" s="802"/>
      <c r="G199" s="802"/>
      <c r="H199" s="802"/>
      <c r="I199" s="802"/>
      <c r="J199" s="802"/>
      <c r="K199" s="802"/>
      <c r="L199" s="802"/>
      <c r="M199" s="802"/>
    </row>
    <row r="200" spans="2:13" ht="15" customHeight="1" x14ac:dyDescent="0.2">
      <c r="B200" s="803" t="s">
        <v>909</v>
      </c>
      <c r="C200" s="803"/>
      <c r="D200" s="803"/>
      <c r="E200" s="803"/>
      <c r="F200" s="803"/>
      <c r="G200" s="803"/>
      <c r="H200" s="803"/>
      <c r="I200" s="803"/>
      <c r="J200" s="803"/>
      <c r="K200" s="803"/>
      <c r="L200" s="803"/>
      <c r="M200" s="803"/>
    </row>
    <row r="201" spans="2:13" ht="15" customHeight="1" x14ac:dyDescent="0.2">
      <c r="B201" s="804"/>
      <c r="C201" s="805"/>
      <c r="D201" s="805"/>
      <c r="E201" s="805"/>
      <c r="F201" s="805"/>
      <c r="G201" s="805"/>
      <c r="H201" s="805"/>
      <c r="I201" s="805"/>
      <c r="J201" s="805"/>
      <c r="K201" s="805"/>
      <c r="L201" s="805"/>
      <c r="M201" s="805"/>
    </row>
    <row r="202" spans="2:13" ht="15" customHeight="1" x14ac:dyDescent="0.2">
      <c r="B202" s="805"/>
      <c r="C202" s="805"/>
      <c r="D202" s="805"/>
      <c r="E202" s="805"/>
      <c r="F202" s="805"/>
      <c r="G202" s="805"/>
      <c r="H202" s="805"/>
      <c r="I202" s="805"/>
      <c r="J202" s="805"/>
      <c r="K202" s="805"/>
      <c r="L202" s="805"/>
      <c r="M202" s="805"/>
    </row>
    <row r="203" spans="2:13" ht="15" customHeight="1" x14ac:dyDescent="0.2">
      <c r="B203" s="805"/>
      <c r="C203" s="805"/>
      <c r="D203" s="805"/>
      <c r="E203" s="805"/>
      <c r="F203" s="805"/>
      <c r="G203" s="805"/>
      <c r="H203" s="805"/>
      <c r="I203" s="805"/>
      <c r="J203" s="805"/>
      <c r="K203" s="805"/>
      <c r="L203" s="805"/>
      <c r="M203" s="805"/>
    </row>
    <row r="204" spans="2:13" ht="15" customHeight="1" x14ac:dyDescent="0.2"/>
    <row r="205" spans="2:13" ht="15" customHeight="1" x14ac:dyDescent="0.2"/>
  </sheetData>
  <sheetProtection algorithmName="SHA-512" hashValue="M3mY7vP1wxIQNWdX0I3Q8faCyMOYQ7N3Mpc5rU/H7mKMmTurKNU19FgOIrTE65umIKGC4qHSkuhzX0M6XRyCZg==" saltValue="yfUEJ0TYPMuC+K4cBeEGzw==" spinCount="100000" sheet="1" objects="1" scenarios="1"/>
  <mergeCells count="158">
    <mergeCell ref="B199:M199"/>
    <mergeCell ref="B200:M200"/>
    <mergeCell ref="B201:M203"/>
    <mergeCell ref="L2:M4"/>
    <mergeCell ref="B2:K4"/>
    <mergeCell ref="B139:M141"/>
    <mergeCell ref="B125:K125"/>
    <mergeCell ref="B126:K126"/>
    <mergeCell ref="B127:K127"/>
    <mergeCell ref="B130:M130"/>
    <mergeCell ref="B106:M108"/>
    <mergeCell ref="B117:J117"/>
    <mergeCell ref="B114:J114"/>
    <mergeCell ref="B115:J115"/>
    <mergeCell ref="B116:J116"/>
    <mergeCell ref="B124:M124"/>
    <mergeCell ref="B110:M110"/>
    <mergeCell ref="B131:M133"/>
    <mergeCell ref="B134:M134"/>
    <mergeCell ref="B135:M137"/>
    <mergeCell ref="B138:M138"/>
    <mergeCell ref="B129:M129"/>
    <mergeCell ref="B118:J118"/>
    <mergeCell ref="B103:M103"/>
    <mergeCell ref="B104:M105"/>
    <mergeCell ref="I99:J99"/>
    <mergeCell ref="B119:J119"/>
    <mergeCell ref="B120:M120"/>
    <mergeCell ref="B121:J121"/>
    <mergeCell ref="B111:J111"/>
    <mergeCell ref="B64:M64"/>
    <mergeCell ref="K98:M98"/>
    <mergeCell ref="K99:M99"/>
    <mergeCell ref="C100:D100"/>
    <mergeCell ref="E100:F100"/>
    <mergeCell ref="G100:H100"/>
    <mergeCell ref="I98:J98"/>
    <mergeCell ref="C99:D99"/>
    <mergeCell ref="B66:M72"/>
    <mergeCell ref="B73:M73"/>
    <mergeCell ref="B74:M78"/>
    <mergeCell ref="G96:H96"/>
    <mergeCell ref="B113:J113"/>
    <mergeCell ref="I100:J100"/>
    <mergeCell ref="B170:M195"/>
    <mergeCell ref="B154:M154"/>
    <mergeCell ref="B155:M157"/>
    <mergeCell ref="B159:M159"/>
    <mergeCell ref="B160:M163"/>
    <mergeCell ref="B165:M165"/>
    <mergeCell ref="B166:M169"/>
    <mergeCell ref="B143:M143"/>
    <mergeCell ref="B144:M144"/>
    <mergeCell ref="B145:M148"/>
    <mergeCell ref="B149:M149"/>
    <mergeCell ref="B150:M153"/>
    <mergeCell ref="B5:M5"/>
    <mergeCell ref="B7:M7"/>
    <mergeCell ref="E15:H15"/>
    <mergeCell ref="J15:L15"/>
    <mergeCell ref="K111:K112"/>
    <mergeCell ref="B122:M122"/>
    <mergeCell ref="M111:M112"/>
    <mergeCell ref="L111:L112"/>
    <mergeCell ref="B26:M26"/>
    <mergeCell ref="J29:L29"/>
    <mergeCell ref="B27:D27"/>
    <mergeCell ref="K96:M96"/>
    <mergeCell ref="B63:M63"/>
    <mergeCell ref="B65:J65"/>
    <mergeCell ref="B39:M39"/>
    <mergeCell ref="B38:M38"/>
    <mergeCell ref="B40:D40"/>
    <mergeCell ref="B91:M94"/>
    <mergeCell ref="B95:M95"/>
    <mergeCell ref="I96:J96"/>
    <mergeCell ref="E40:F40"/>
    <mergeCell ref="L40:M40"/>
    <mergeCell ref="E41:F41"/>
    <mergeCell ref="L41:M41"/>
    <mergeCell ref="B41:D41"/>
    <mergeCell ref="B44:H44"/>
    <mergeCell ref="I44:J44"/>
    <mergeCell ref="I43:J43"/>
    <mergeCell ref="I41:J41"/>
    <mergeCell ref="K23:M23"/>
    <mergeCell ref="K24:M24"/>
    <mergeCell ref="K21:M21"/>
    <mergeCell ref="K22:M22"/>
    <mergeCell ref="B25:M25"/>
    <mergeCell ref="B35:G36"/>
    <mergeCell ref="I40:J40"/>
    <mergeCell ref="H42:J42"/>
    <mergeCell ref="K42:M44"/>
    <mergeCell ref="B42:D42"/>
    <mergeCell ref="E42:F42"/>
    <mergeCell ref="B43:D43"/>
    <mergeCell ref="E43:F43"/>
    <mergeCell ref="E20:H20"/>
    <mergeCell ref="J20:L20"/>
    <mergeCell ref="B17:M17"/>
    <mergeCell ref="E18:M18"/>
    <mergeCell ref="E8:M8"/>
    <mergeCell ref="E19:M19"/>
    <mergeCell ref="L9:M9"/>
    <mergeCell ref="E9:G9"/>
    <mergeCell ref="I9:J9"/>
    <mergeCell ref="E10:H10"/>
    <mergeCell ref="B12:M12"/>
    <mergeCell ref="E14:G14"/>
    <mergeCell ref="I14:J14"/>
    <mergeCell ref="J10:L10"/>
    <mergeCell ref="L14:M14"/>
    <mergeCell ref="E13:M13"/>
    <mergeCell ref="B55:M55"/>
    <mergeCell ref="B56:M58"/>
    <mergeCell ref="K97:M97"/>
    <mergeCell ref="B80:L80"/>
    <mergeCell ref="B81:M85"/>
    <mergeCell ref="B87:M87"/>
    <mergeCell ref="B88:M90"/>
    <mergeCell ref="B51:E51"/>
    <mergeCell ref="L51:M51"/>
    <mergeCell ref="B53:H53"/>
    <mergeCell ref="L53:M53"/>
    <mergeCell ref="B60:K60"/>
    <mergeCell ref="B62:K62"/>
    <mergeCell ref="L60:M60"/>
    <mergeCell ref="L62:M62"/>
    <mergeCell ref="L61:M61"/>
    <mergeCell ref="E97:F97"/>
    <mergeCell ref="C97:D97"/>
    <mergeCell ref="B52:E52"/>
    <mergeCell ref="L52:M52"/>
    <mergeCell ref="B50:E50"/>
    <mergeCell ref="B49:E49"/>
    <mergeCell ref="L49:M49"/>
    <mergeCell ref="B46:M46"/>
    <mergeCell ref="B47:E47"/>
    <mergeCell ref="L47:M47"/>
    <mergeCell ref="B48:E48"/>
    <mergeCell ref="L48:M48"/>
    <mergeCell ref="C101:D101"/>
    <mergeCell ref="E101:F101"/>
    <mergeCell ref="G101:H101"/>
    <mergeCell ref="I101:J101"/>
    <mergeCell ref="C98:D98"/>
    <mergeCell ref="E98:F98"/>
    <mergeCell ref="G98:H98"/>
    <mergeCell ref="E99:F99"/>
    <mergeCell ref="G99:H99"/>
    <mergeCell ref="L50:M50"/>
    <mergeCell ref="K100:M100"/>
    <mergeCell ref="K101:M101"/>
    <mergeCell ref="E96:F96"/>
    <mergeCell ref="C96:D96"/>
    <mergeCell ref="I97:J97"/>
    <mergeCell ref="G97:H97"/>
  </mergeCells>
  <conditionalFormatting sqref="G48:G52">
    <cfRule type="cellIs" dxfId="72" priority="4" operator="equal">
      <formula>"Fill this cell"</formula>
    </cfRule>
  </conditionalFormatting>
  <conditionalFormatting sqref="K48:K52">
    <cfRule type="cellIs" dxfId="71" priority="3" operator="equal">
      <formula>"Fill this cell"</formula>
    </cfRule>
  </conditionalFormatting>
  <conditionalFormatting sqref="J48:J52">
    <cfRule type="cellIs" dxfId="70" priority="2" operator="equal">
      <formula>"Fill this cell"</formula>
    </cfRule>
  </conditionalFormatting>
  <dataValidations count="12">
    <dataValidation type="decimal" allowBlank="1" showInputMessage="1" showErrorMessage="1" sqref="F48:F52 H48:H52" xr:uid="{00000000-0002-0000-0100-000000000000}">
      <formula1>-999999999999</formula1>
      <formula2>999999999999999000</formula2>
    </dataValidation>
    <dataValidation allowBlank="1" showInputMessage="1" sqref="B53:H54 B60:B62" xr:uid="{00000000-0002-0000-0100-000001000000}"/>
    <dataValidation type="list" allowBlank="1" showInputMessage="1" sqref="B48:E52" xr:uid="{00000000-0002-0000-0100-000002000000}">
      <formula1>FuelTypes</formula1>
    </dataValidation>
    <dataValidation type="list" allowBlank="1" showInputMessage="1" showErrorMessage="1" sqref="M80 E1" xr:uid="{00000000-0002-0000-0100-000003000000}">
      <formula1>"Yes, No"</formula1>
    </dataValidation>
    <dataValidation type="list" allowBlank="1" showInputMessage="1" showErrorMessage="1" sqref="H41" xr:uid="{00000000-0002-0000-0100-000004000000}">
      <formula1>"SGS, MGS, LGS, TSR"</formula1>
    </dataValidation>
    <dataValidation type="list" allowBlank="1" showInputMessage="1" showErrorMessage="1" sqref="F27 L27" xr:uid="{00000000-0002-0000-0100-000005000000}">
      <formula1>"sq m, sq ft"</formula1>
    </dataValidation>
    <dataValidation type="whole" allowBlank="1" showInputMessage="1" showErrorMessage="1" errorTitle="Invalid area" error="Please enter an area to be studied that is less than the total floorspace area" sqref="K27" xr:uid="{00000000-0002-0000-0100-000006000000}">
      <formula1>0</formula1>
      <formula2>E27</formula2>
    </dataValidation>
    <dataValidation type="list" allowBlank="1" showInputMessage="1" showErrorMessage="1" sqref="C97:D101" xr:uid="{00000000-0002-0000-0100-000007000000}">
      <formula1>CommEUs</formula1>
    </dataValidation>
    <dataValidation type="list" allowBlank="1" showInputMessage="1" showErrorMessage="1" sqref="E32" xr:uid="{00000000-0002-0000-0100-000008000000}">
      <formula1>"1,3"</formula1>
    </dataValidation>
    <dataValidation type="list" allowBlank="1" showInputMessage="1" showErrorMessage="1" sqref="I97:J101" xr:uid="{00000000-0002-0000-0100-000009000000}">
      <formula1>FuelTypes</formula1>
    </dataValidation>
    <dataValidation type="list" allowBlank="1" showInputMessage="1" showErrorMessage="1" sqref="J29:L29" xr:uid="{00000000-0002-0000-0100-00000B000000}">
      <formula1>BuildingTypes</formula1>
    </dataValidation>
    <dataValidation type="list" errorStyle="warning" allowBlank="1" showInputMessage="1" showErrorMessage="1" errorTitle="Custom LCE Measure" error="You have selected a custom LCE measure" sqref="K97:M101" xr:uid="{09DB42F0-9B07-450E-B089-0829C8A1361E}">
      <formula1>IF($C97="Domestic Hot Water",DHW,IF($C97="HVAC",HVAC,Other))</formula1>
    </dataValidation>
  </dataValidations>
  <pageMargins left="0.7" right="0.7" top="0.75" bottom="0.75" header="0" footer="0.3"/>
  <pageSetup scale="75" fitToHeight="0" orientation="portrait" r:id="rId1"/>
  <headerFooter>
    <oddHeader>&amp;L&amp;"Arial Black,Regular"&amp;16&amp;K61A744CleanBC&amp;K005C97 Custom Incentives
&amp;"Arial,Regular"Pre-screen</oddHeader>
    <oddFooter>&amp;LPage &amp;P of &amp;N&amp;R&amp;G</oddFooter>
  </headerFooter>
  <rowBreaks count="3" manualBreakCount="3">
    <brk id="54" min="1" max="12" man="1"/>
    <brk id="108" min="1" max="12" man="1"/>
    <brk id="164" max="16383" man="1"/>
  </row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BFE32E97-6ADF-4BB8-891B-5E1C95D91667}">
          <x14:formula1>
            <xm:f>Variables!$CY$3:$CY$8</xm:f>
          </x14:formula1>
          <xm:sqref>E97:F101</xm:sqref>
        </x14:dataValidation>
        <x14:dataValidation type="list" allowBlank="1" showInputMessage="1" showErrorMessage="1" xr:uid="{5BB3CE6C-09CA-4FC3-A415-A67083AD1CE4}">
          <x14:formula1>
            <xm:f>Variables!$CZ$3:$CZ$10</xm:f>
          </x14:formula1>
          <xm:sqref>G97:H101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DD63"/>
  <sheetViews>
    <sheetView zoomScale="85" zoomScaleNormal="85" workbookViewId="0"/>
  </sheetViews>
  <sheetFormatPr defaultColWidth="9.140625" defaultRowHeight="15" x14ac:dyDescent="0.25"/>
  <cols>
    <col min="1" max="1" width="30.5703125" style="4" bestFit="1" customWidth="1"/>
    <col min="2" max="2" width="23.140625" style="4" bestFit="1" customWidth="1"/>
    <col min="3" max="3" width="9.5703125" style="4" bestFit="1" customWidth="1"/>
    <col min="4" max="4" width="15" style="4" bestFit="1" customWidth="1"/>
    <col min="5" max="5" width="48.42578125" style="4" bestFit="1" customWidth="1"/>
    <col min="6" max="6" width="31.140625" style="4" bestFit="1" customWidth="1"/>
    <col min="7" max="7" width="14.7109375" style="4" bestFit="1" customWidth="1"/>
    <col min="8" max="8" width="26.28515625" style="4" bestFit="1" customWidth="1"/>
    <col min="9" max="9" width="6" style="4" bestFit="1" customWidth="1"/>
    <col min="10" max="10" width="27.140625" style="4" bestFit="1" customWidth="1"/>
    <col min="11" max="11" width="30.28515625" style="4" bestFit="1" customWidth="1"/>
    <col min="12" max="12" width="22.28515625" style="4" bestFit="1" customWidth="1"/>
    <col min="13" max="13" width="39.7109375" style="4" bestFit="1" customWidth="1"/>
    <col min="14" max="14" width="41.85546875" style="4" bestFit="1" customWidth="1"/>
    <col min="15" max="15" width="25.85546875" style="4" bestFit="1" customWidth="1"/>
    <col min="16" max="16" width="20.28515625" style="4" bestFit="1" customWidth="1"/>
    <col min="17" max="17" width="34" style="4" bestFit="1" customWidth="1"/>
    <col min="18" max="18" width="16.85546875" style="4" bestFit="1" customWidth="1"/>
    <col min="19" max="19" width="33.140625" style="4" bestFit="1" customWidth="1"/>
    <col min="21" max="21" width="60.28515625" customWidth="1"/>
    <col min="22" max="22" width="17.85546875" customWidth="1"/>
    <col min="24" max="24" width="16.42578125" style="4" bestFit="1" customWidth="1"/>
    <col min="25" max="25" width="30.85546875" style="4" bestFit="1" customWidth="1"/>
    <col min="26" max="26" width="33.85546875" style="4" bestFit="1" customWidth="1"/>
    <col min="27" max="27" width="31.140625" style="4" bestFit="1" customWidth="1"/>
    <col min="28" max="28" width="17.85546875" style="4" bestFit="1" customWidth="1"/>
    <col min="29" max="29" width="17.85546875" style="4" customWidth="1"/>
    <col min="30" max="30" width="14.5703125" style="4" bestFit="1" customWidth="1"/>
    <col min="31" max="31" width="5.140625" style="4" bestFit="1" customWidth="1"/>
    <col min="32" max="32" width="6.5703125" style="4" bestFit="1" customWidth="1"/>
    <col min="33" max="33" width="11.28515625" style="4" bestFit="1" customWidth="1"/>
    <col min="34" max="34" width="18.28515625" style="4" bestFit="1" customWidth="1"/>
    <col min="35" max="35" width="6.140625" style="4" bestFit="1" customWidth="1"/>
    <col min="36" max="36" width="6.140625" style="4" customWidth="1"/>
    <col min="37" max="37" width="5" style="4" bestFit="1" customWidth="1"/>
    <col min="38" max="38" width="26.140625" style="4" bestFit="1" customWidth="1"/>
    <col min="39" max="39" width="5.85546875" style="4" bestFit="1" customWidth="1"/>
    <col min="40" max="40" width="26.140625" style="4" bestFit="1" customWidth="1"/>
    <col min="41" max="43" width="3.7109375" style="4" customWidth="1"/>
    <col min="44" max="44" width="52.85546875" style="4" customWidth="1"/>
    <col min="45" max="50" width="2.85546875" style="4" customWidth="1"/>
    <col min="51" max="51" width="4.85546875" style="4" customWidth="1"/>
    <col min="52" max="52" width="7" style="4" customWidth="1"/>
    <col min="53" max="54" width="2.85546875" style="4" customWidth="1"/>
    <col min="55" max="55" width="35.85546875" style="4" bestFit="1" customWidth="1"/>
    <col min="56" max="56" width="17" style="4" bestFit="1" customWidth="1"/>
    <col min="57" max="57" width="18.42578125" style="4" bestFit="1" customWidth="1"/>
    <col min="58" max="58" width="23.85546875" style="4" bestFit="1" customWidth="1"/>
    <col min="59" max="59" width="7.140625" style="4" customWidth="1"/>
    <col min="60" max="60" width="10.140625" style="4" customWidth="1"/>
    <col min="61" max="61" width="6.85546875" style="4" customWidth="1"/>
    <col min="62" max="62" width="6.7109375" style="4" customWidth="1"/>
    <col min="63" max="63" width="7.140625" style="4" customWidth="1"/>
    <col min="64" max="64" width="8" style="4" customWidth="1"/>
    <col min="65" max="65" width="9.140625" style="4"/>
    <col min="66" max="66" width="35.85546875" style="4" bestFit="1" customWidth="1"/>
    <col min="67" max="67" width="7.140625" style="4" customWidth="1"/>
    <col min="68" max="68" width="10.140625" style="4" customWidth="1"/>
    <col min="69" max="69" width="6.85546875" style="4" customWidth="1"/>
    <col min="70" max="71" width="8.5703125" style="4" customWidth="1"/>
    <col min="72" max="72" width="8" style="4" customWidth="1"/>
    <col min="73" max="73" width="21.140625" style="4" customWidth="1"/>
    <col min="74" max="74" width="23.140625" style="4" customWidth="1"/>
    <col min="75" max="75" width="36.7109375" style="4" customWidth="1"/>
    <col min="76" max="76" width="14.140625" style="4" customWidth="1"/>
    <col min="77" max="77" width="13" style="4" customWidth="1"/>
    <col min="78" max="79" width="9.140625" style="4"/>
    <col min="80" max="80" width="32.42578125" style="4" bestFit="1" customWidth="1"/>
    <col min="81" max="81" width="11.85546875" style="4" bestFit="1" customWidth="1"/>
    <col min="82" max="82" width="8" style="4" bestFit="1" customWidth="1"/>
    <col min="83" max="83" width="10.140625" style="4" bestFit="1" customWidth="1"/>
    <col min="84" max="84" width="6.85546875" style="4" bestFit="1" customWidth="1"/>
    <col min="85" max="86" width="8.28515625" style="4" bestFit="1" customWidth="1"/>
    <col min="87" max="87" width="8" style="4" bestFit="1" customWidth="1"/>
    <col min="88" max="88" width="15.140625" style="4" bestFit="1" customWidth="1"/>
    <col min="89" max="89" width="47" style="4" bestFit="1" customWidth="1"/>
    <col min="90" max="90" width="25.85546875" style="4" bestFit="1" customWidth="1"/>
    <col min="91" max="92" width="9.140625" style="4"/>
    <col min="93" max="93" width="19.5703125" style="4" bestFit="1" customWidth="1"/>
    <col min="94" max="94" width="35" style="4" bestFit="1" customWidth="1"/>
    <col min="95" max="95" width="15.140625" style="4" bestFit="1" customWidth="1"/>
    <col min="96" max="96" width="13.28515625" style="4" bestFit="1" customWidth="1"/>
    <col min="97" max="97" width="31" style="4" bestFit="1" customWidth="1"/>
    <col min="98" max="98" width="11.42578125" style="4" bestFit="1" customWidth="1"/>
    <col min="99" max="99" width="13.28515625" style="4" bestFit="1" customWidth="1"/>
    <col min="100" max="100" width="12" style="4" bestFit="1" customWidth="1"/>
    <col min="101" max="103" width="9.140625" style="4"/>
    <col min="104" max="104" width="20.28515625" style="4" bestFit="1" customWidth="1"/>
    <col min="105" max="105" width="25" style="4" bestFit="1" customWidth="1"/>
    <col min="106" max="108" width="25" style="4" customWidth="1"/>
    <col min="109" max="109" width="41" style="4" bestFit="1" customWidth="1"/>
    <col min="110" max="110" width="13.42578125" style="4" customWidth="1"/>
    <col min="111" max="16384" width="9.140625" style="4"/>
  </cols>
  <sheetData>
    <row r="1" spans="1:108" x14ac:dyDescent="0.25">
      <c r="A1" s="4" t="s">
        <v>87</v>
      </c>
      <c r="B1" s="4" t="s">
        <v>88</v>
      </c>
      <c r="C1" s="13" t="s">
        <v>89</v>
      </c>
      <c r="D1" s="4" t="s">
        <v>90</v>
      </c>
      <c r="E1" s="4" t="s">
        <v>91</v>
      </c>
      <c r="F1" s="4" t="s">
        <v>92</v>
      </c>
      <c r="G1" s="4" t="s">
        <v>93</v>
      </c>
      <c r="H1" s="4" t="s">
        <v>94</v>
      </c>
      <c r="I1" s="33" t="s">
        <v>401</v>
      </c>
      <c r="J1" s="4" t="s">
        <v>95</v>
      </c>
      <c r="K1" s="4" t="s">
        <v>96</v>
      </c>
      <c r="L1" s="4" t="s">
        <v>97</v>
      </c>
      <c r="M1" s="4" t="s">
        <v>98</v>
      </c>
      <c r="N1" s="18" t="s">
        <v>328</v>
      </c>
      <c r="O1" s="18" t="s">
        <v>329</v>
      </c>
      <c r="P1" s="18" t="s">
        <v>327</v>
      </c>
      <c r="Q1" s="23" t="s">
        <v>146</v>
      </c>
      <c r="R1" s="57" t="s">
        <v>442</v>
      </c>
      <c r="S1" s="57" t="s">
        <v>444</v>
      </c>
      <c r="T1" s="57" t="s">
        <v>443</v>
      </c>
      <c r="U1" s="666" t="s">
        <v>818</v>
      </c>
      <c r="V1" s="666" t="s">
        <v>819</v>
      </c>
      <c r="W1" s="4" t="s">
        <v>306</v>
      </c>
      <c r="X1" s="4" t="s">
        <v>99</v>
      </c>
      <c r="Y1" s="28" t="s">
        <v>101</v>
      </c>
      <c r="Z1" s="4" t="s">
        <v>102</v>
      </c>
      <c r="AA1" s="28" t="s">
        <v>342</v>
      </c>
      <c r="AB1" s="32" t="s">
        <v>313</v>
      </c>
      <c r="AC1" s="23" t="s">
        <v>376</v>
      </c>
      <c r="AD1" s="23" t="s">
        <v>377</v>
      </c>
      <c r="AE1" s="23" t="s">
        <v>378</v>
      </c>
      <c r="AF1" s="23" t="s">
        <v>379</v>
      </c>
      <c r="AG1" s="23" t="s">
        <v>340</v>
      </c>
      <c r="AH1" s="30" t="s">
        <v>349</v>
      </c>
      <c r="AI1" s="30" t="s">
        <v>100</v>
      </c>
      <c r="AJ1" s="30" t="s">
        <v>347</v>
      </c>
      <c r="AK1" s="30" t="s">
        <v>348</v>
      </c>
      <c r="AL1" s="699" t="s">
        <v>699</v>
      </c>
      <c r="AP1" s="4" t="s">
        <v>305</v>
      </c>
      <c r="BA1" s="812" t="s">
        <v>33</v>
      </c>
      <c r="BB1" s="812"/>
      <c r="BC1" s="812"/>
      <c r="BD1" s="812"/>
      <c r="BE1" s="812"/>
      <c r="BF1" s="812"/>
      <c r="BG1" s="812"/>
      <c r="BH1" s="812"/>
      <c r="BI1" s="812"/>
      <c r="BJ1" s="812"/>
      <c r="BL1" s="812" t="s">
        <v>34</v>
      </c>
      <c r="BM1" s="812"/>
      <c r="BN1" s="812"/>
      <c r="BO1" s="812"/>
      <c r="BP1" s="812"/>
      <c r="BQ1" s="812"/>
      <c r="BR1" s="812"/>
      <c r="BU1" s="812" t="s">
        <v>35</v>
      </c>
      <c r="BV1" s="812"/>
      <c r="BW1" s="812"/>
      <c r="BZ1" s="812" t="s">
        <v>36</v>
      </c>
      <c r="CA1" s="812"/>
      <c r="CB1" s="812"/>
      <c r="CC1" s="812"/>
      <c r="CD1" s="812"/>
      <c r="CE1" s="812"/>
      <c r="CF1" s="812"/>
      <c r="CG1" s="812"/>
      <c r="CH1" s="698"/>
      <c r="CX1" s="43"/>
      <c r="CY1" s="44" t="s">
        <v>417</v>
      </c>
      <c r="CZ1" s="59"/>
      <c r="DA1" s="65"/>
      <c r="DB1" s="48" t="s">
        <v>356</v>
      </c>
      <c r="DC1" s="46" t="s">
        <v>456</v>
      </c>
      <c r="DD1" s="46" t="s">
        <v>427</v>
      </c>
    </row>
    <row r="2" spans="1:108" x14ac:dyDescent="0.25">
      <c r="A2" s="14" t="s">
        <v>103</v>
      </c>
      <c r="B2" s="14" t="s">
        <v>104</v>
      </c>
      <c r="C2" s="14" t="s">
        <v>105</v>
      </c>
      <c r="D2" s="14" t="s">
        <v>106</v>
      </c>
      <c r="E2" s="15" t="s">
        <v>107</v>
      </c>
      <c r="F2" s="15" t="s">
        <v>108</v>
      </c>
      <c r="G2" s="15" t="s">
        <v>109</v>
      </c>
      <c r="H2" s="14" t="s">
        <v>110</v>
      </c>
      <c r="I2" s="14">
        <v>160</v>
      </c>
      <c r="J2" s="16" t="s">
        <v>107</v>
      </c>
      <c r="K2" s="16" t="s">
        <v>111</v>
      </c>
      <c r="L2" s="16" t="s">
        <v>112</v>
      </c>
      <c r="M2" s="14" t="s">
        <v>113</v>
      </c>
      <c r="N2" s="14" t="s">
        <v>114</v>
      </c>
      <c r="O2" s="19" t="s">
        <v>386</v>
      </c>
      <c r="P2" s="69" t="s">
        <v>146</v>
      </c>
      <c r="Q2" s="69" t="s">
        <v>838</v>
      </c>
      <c r="R2" s="69">
        <v>18</v>
      </c>
      <c r="S2" s="71" t="s">
        <v>829</v>
      </c>
      <c r="T2" s="71">
        <v>15</v>
      </c>
      <c r="U2" s="667" t="s">
        <v>829</v>
      </c>
      <c r="V2" s="668">
        <v>15</v>
      </c>
      <c r="W2" s="14" t="s">
        <v>304</v>
      </c>
      <c r="X2" s="14" t="s">
        <v>2</v>
      </c>
      <c r="Y2" s="14" t="s">
        <v>19</v>
      </c>
      <c r="Z2" s="14" t="s">
        <v>20</v>
      </c>
      <c r="AA2" s="19" t="s">
        <v>389</v>
      </c>
      <c r="AB2" s="19" t="s">
        <v>330</v>
      </c>
      <c r="AC2" s="19" t="s">
        <v>368</v>
      </c>
      <c r="AD2" s="19" t="s">
        <v>370</v>
      </c>
      <c r="AE2" s="19" t="s">
        <v>372</v>
      </c>
      <c r="AF2" s="19" t="s">
        <v>380</v>
      </c>
      <c r="AG2" s="19">
        <v>1</v>
      </c>
      <c r="AH2" s="19">
        <v>0.05</v>
      </c>
      <c r="AI2" s="278" t="s">
        <v>345</v>
      </c>
      <c r="AJ2" s="716">
        <v>6.0199999999999997E-2</v>
      </c>
      <c r="AK2" s="716">
        <v>12.26</v>
      </c>
      <c r="AL2" s="700" t="s">
        <v>873</v>
      </c>
      <c r="AP2" s="4" t="s">
        <v>303</v>
      </c>
      <c r="BF2" s="813" t="s">
        <v>37</v>
      </c>
      <c r="BG2" s="813"/>
      <c r="BH2" s="813"/>
      <c r="BI2" s="813"/>
      <c r="BJ2" s="813"/>
      <c r="BL2" s="4" t="s">
        <v>15</v>
      </c>
      <c r="BM2" s="4" t="s">
        <v>38</v>
      </c>
      <c r="BN2" s="4" t="s">
        <v>39</v>
      </c>
      <c r="BO2" s="4" t="s">
        <v>40</v>
      </c>
      <c r="BP2" s="4" t="s">
        <v>41</v>
      </c>
      <c r="BQ2" s="4" t="s">
        <v>42</v>
      </c>
      <c r="BR2" s="4" t="s">
        <v>43</v>
      </c>
      <c r="BU2" s="4" t="s">
        <v>44</v>
      </c>
      <c r="BV2" s="4" t="s">
        <v>45</v>
      </c>
      <c r="BW2" s="4" t="s">
        <v>46</v>
      </c>
      <c r="BZ2" s="4" t="s">
        <v>47</v>
      </c>
      <c r="CA2" s="4" t="s">
        <v>15</v>
      </c>
      <c r="CB2" s="4" t="s">
        <v>5</v>
      </c>
      <c r="CC2" s="4" t="s">
        <v>39</v>
      </c>
      <c r="CD2" s="4" t="s">
        <v>40</v>
      </c>
      <c r="CE2" s="4" t="s">
        <v>41</v>
      </c>
      <c r="CF2" s="4" t="s">
        <v>42</v>
      </c>
      <c r="CG2" s="4" t="s">
        <v>43</v>
      </c>
      <c r="CH2" s="4" t="s">
        <v>48</v>
      </c>
      <c r="CI2" s="4" t="s">
        <v>49</v>
      </c>
      <c r="CJ2" s="4" t="s">
        <v>50</v>
      </c>
      <c r="CM2" s="4" t="s">
        <v>19</v>
      </c>
      <c r="CN2" s="4" t="s">
        <v>21</v>
      </c>
      <c r="CO2" s="4" t="s">
        <v>23</v>
      </c>
      <c r="CP2" s="4" t="s">
        <v>25</v>
      </c>
      <c r="CQ2" s="4" t="s">
        <v>26</v>
      </c>
      <c r="CR2" s="4" t="s">
        <v>28</v>
      </c>
      <c r="CS2" s="4" t="s">
        <v>29</v>
      </c>
      <c r="CT2" s="4" t="s">
        <v>31</v>
      </c>
      <c r="CX2" s="45" t="s">
        <v>327</v>
      </c>
      <c r="CY2" s="45" t="s">
        <v>425</v>
      </c>
      <c r="CZ2" s="48" t="s">
        <v>441</v>
      </c>
      <c r="DA2" s="64"/>
      <c r="DB2" s="62" t="s">
        <v>146</v>
      </c>
      <c r="DC2" s="49" t="s">
        <v>316</v>
      </c>
      <c r="DD2" s="49">
        <v>22</v>
      </c>
    </row>
    <row r="3" spans="1:108" ht="17.25" x14ac:dyDescent="0.25">
      <c r="A3" s="14" t="s">
        <v>115</v>
      </c>
      <c r="B3" s="14" t="s">
        <v>116</v>
      </c>
      <c r="C3" s="14" t="s">
        <v>117</v>
      </c>
      <c r="D3" s="14" t="s">
        <v>118</v>
      </c>
      <c r="E3" s="15" t="s">
        <v>119</v>
      </c>
      <c r="F3" s="15" t="s">
        <v>120</v>
      </c>
      <c r="G3" s="15" t="s">
        <v>121</v>
      </c>
      <c r="H3" s="14" t="s">
        <v>122</v>
      </c>
      <c r="I3" s="14">
        <v>130</v>
      </c>
      <c r="J3" s="16" t="s">
        <v>123</v>
      </c>
      <c r="K3" s="16" t="s">
        <v>124</v>
      </c>
      <c r="L3" s="16" t="s">
        <v>125</v>
      </c>
      <c r="M3" s="14" t="s">
        <v>126</v>
      </c>
      <c r="N3" s="14" t="s">
        <v>127</v>
      </c>
      <c r="O3" s="19" t="s">
        <v>317</v>
      </c>
      <c r="P3" s="69" t="s">
        <v>119</v>
      </c>
      <c r="Q3" s="69" t="s">
        <v>839</v>
      </c>
      <c r="R3" s="69">
        <v>17</v>
      </c>
      <c r="S3" s="71" t="s">
        <v>830</v>
      </c>
      <c r="T3" s="71">
        <v>15</v>
      </c>
      <c r="U3" s="667" t="s">
        <v>830</v>
      </c>
      <c r="V3" s="668">
        <v>15</v>
      </c>
      <c r="W3" s="14" t="s">
        <v>302</v>
      </c>
      <c r="X3" s="14" t="s">
        <v>57</v>
      </c>
      <c r="Y3" s="14" t="s">
        <v>21</v>
      </c>
      <c r="Z3" s="14" t="s">
        <v>24</v>
      </c>
      <c r="AA3" s="14" t="s">
        <v>390</v>
      </c>
      <c r="AB3" s="19" t="s">
        <v>331</v>
      </c>
      <c r="AC3" s="19" t="s">
        <v>368</v>
      </c>
      <c r="AD3" s="19" t="s">
        <v>374</v>
      </c>
      <c r="AE3" s="19" t="s">
        <v>373</v>
      </c>
      <c r="AF3" s="19" t="s">
        <v>380</v>
      </c>
      <c r="AG3" s="19">
        <v>1</v>
      </c>
      <c r="AH3" s="19">
        <v>0.06</v>
      </c>
      <c r="AI3" s="278" t="s">
        <v>343</v>
      </c>
      <c r="AJ3" s="716">
        <v>9.6199999999999994E-2</v>
      </c>
      <c r="AK3" s="716">
        <v>5.38</v>
      </c>
      <c r="AL3" s="700" t="s">
        <v>874</v>
      </c>
      <c r="AP3" s="4" t="s">
        <v>301</v>
      </c>
      <c r="AW3" s="4" t="s">
        <v>38</v>
      </c>
      <c r="AX3" s="4" t="s">
        <v>213</v>
      </c>
      <c r="BA3" s="4" t="s">
        <v>15</v>
      </c>
      <c r="BB3" s="23" t="s">
        <v>216</v>
      </c>
      <c r="BC3" s="4" t="s">
        <v>51</v>
      </c>
      <c r="BD3" s="4" t="s">
        <v>52</v>
      </c>
      <c r="BE3" s="4" t="s">
        <v>38</v>
      </c>
      <c r="BF3" s="4" t="s">
        <v>39</v>
      </c>
      <c r="BG3" s="4" t="s">
        <v>40</v>
      </c>
      <c r="BH3" s="4" t="s">
        <v>41</v>
      </c>
      <c r="BI3" s="4" t="s">
        <v>42</v>
      </c>
      <c r="BJ3" s="4" t="s">
        <v>43</v>
      </c>
      <c r="BL3" s="4" t="s">
        <v>2</v>
      </c>
      <c r="BM3" s="10" t="s">
        <v>53</v>
      </c>
      <c r="BN3" s="9"/>
      <c r="BO3" s="4">
        <v>1.9259999999999999</v>
      </c>
      <c r="BP3" s="12">
        <v>3.6999999999999998E-5</v>
      </c>
      <c r="BQ3" s="12">
        <v>3.4999999999999997E-5</v>
      </c>
      <c r="BR3" s="11">
        <v>1.9370000000000001</v>
      </c>
      <c r="BU3" s="4" t="s">
        <v>54</v>
      </c>
      <c r="BV3" s="7">
        <f>IF(BV30="Yes",BV24,BV23)</f>
        <v>9.6999999999999993</v>
      </c>
      <c r="BW3" s="7">
        <v>2.964</v>
      </c>
      <c r="BZ3" s="4" t="s">
        <v>19</v>
      </c>
      <c r="CA3" s="7" t="s">
        <v>3</v>
      </c>
      <c r="CB3" s="7" t="s">
        <v>55</v>
      </c>
      <c r="CC3" s="7">
        <v>7.5499999999999998E-2</v>
      </c>
      <c r="CD3" s="8">
        <v>2.2000000000000002</v>
      </c>
      <c r="CE3" s="7">
        <v>2.3000000000000001E-4</v>
      </c>
      <c r="CF3" s="7">
        <v>4.6999999999999999E-4</v>
      </c>
      <c r="CG3" s="8">
        <v>2.3460000000000001</v>
      </c>
      <c r="CH3" s="8" t="str">
        <f>Table613[[#This Row],[Fuel Type]]&amp;" ("&amp;MID(Table613[[#This Row],[Units]],4,2)&amp;")"</f>
        <v>Gasoline (L)</v>
      </c>
      <c r="CI3" s="7" t="str">
        <f>Table613[[#This Row],[Transport Mode]]&amp;Table613[[#This Row],[Fuel Type]]&amp;" ("&amp;MID(Table613[[#This Row],[Units]],4,2)&amp;")"</f>
        <v>Light Duty VehicleGasoline (L)</v>
      </c>
      <c r="CJ3" s="6">
        <v>9.7222230000000014</v>
      </c>
      <c r="CM3" s="4" t="s">
        <v>20</v>
      </c>
      <c r="CN3" s="4" t="s">
        <v>20</v>
      </c>
      <c r="CO3" s="4" t="s">
        <v>20</v>
      </c>
      <c r="CP3" s="4" t="s">
        <v>20</v>
      </c>
      <c r="CQ3" s="4" t="s">
        <v>20</v>
      </c>
      <c r="CR3" s="4" t="s">
        <v>20</v>
      </c>
      <c r="CS3" s="4" t="s">
        <v>20</v>
      </c>
      <c r="CT3" s="4" t="s">
        <v>32</v>
      </c>
      <c r="CX3" s="47" t="s">
        <v>146</v>
      </c>
      <c r="CY3" s="51" t="s">
        <v>428</v>
      </c>
      <c r="CZ3" s="60" t="s">
        <v>434</v>
      </c>
      <c r="DA3" s="63"/>
      <c r="DB3" s="62" t="s">
        <v>146</v>
      </c>
      <c r="DC3" s="49" t="s">
        <v>317</v>
      </c>
      <c r="DD3" s="49">
        <v>15</v>
      </c>
    </row>
    <row r="4" spans="1:108" x14ac:dyDescent="0.25">
      <c r="A4" s="14" t="s">
        <v>128</v>
      </c>
      <c r="B4" s="14" t="s">
        <v>129</v>
      </c>
      <c r="C4" s="14" t="s">
        <v>130</v>
      </c>
      <c r="D4" s="14"/>
      <c r="E4" s="15" t="s">
        <v>131</v>
      </c>
      <c r="F4" s="15" t="s">
        <v>132</v>
      </c>
      <c r="G4" s="15" t="s">
        <v>133</v>
      </c>
      <c r="H4" s="14" t="s">
        <v>134</v>
      </c>
      <c r="I4" s="14"/>
      <c r="J4" s="16" t="s">
        <v>135</v>
      </c>
      <c r="K4" s="16" t="s">
        <v>135</v>
      </c>
      <c r="L4" s="16" t="s">
        <v>136</v>
      </c>
      <c r="M4" s="14" t="s">
        <v>137</v>
      </c>
      <c r="N4" s="14" t="s">
        <v>138</v>
      </c>
      <c r="O4" s="19" t="s">
        <v>321</v>
      </c>
      <c r="P4" s="69" t="s">
        <v>7</v>
      </c>
      <c r="Q4" s="69" t="s">
        <v>840</v>
      </c>
      <c r="R4" s="69">
        <v>18</v>
      </c>
      <c r="S4" s="71" t="s">
        <v>831</v>
      </c>
      <c r="T4" s="71">
        <v>15</v>
      </c>
      <c r="U4" s="667" t="s">
        <v>831</v>
      </c>
      <c r="V4" s="668">
        <v>15</v>
      </c>
      <c r="W4" s="14"/>
      <c r="X4" s="14" t="s">
        <v>60</v>
      </c>
      <c r="Y4" s="14" t="s">
        <v>23</v>
      </c>
      <c r="Z4" s="14" t="s">
        <v>22</v>
      </c>
      <c r="AA4" s="14" t="s">
        <v>391</v>
      </c>
      <c r="AB4" s="19" t="s">
        <v>332</v>
      </c>
      <c r="AC4" s="19" t="s">
        <v>369</v>
      </c>
      <c r="AD4" s="19" t="s">
        <v>405</v>
      </c>
      <c r="AE4" s="19" t="s">
        <v>380</v>
      </c>
      <c r="AF4" s="19" t="s">
        <v>380</v>
      </c>
      <c r="AG4" s="19">
        <v>0.53500000000000003</v>
      </c>
      <c r="AH4" s="19">
        <v>7.0000000000000007E-2</v>
      </c>
      <c r="AI4" s="278" t="s">
        <v>344</v>
      </c>
      <c r="AJ4" s="716">
        <v>0.1245</v>
      </c>
      <c r="AK4" s="716">
        <v>0</v>
      </c>
      <c r="AL4" s="700" t="s">
        <v>700</v>
      </c>
      <c r="AP4" s="4" t="s">
        <v>300</v>
      </c>
      <c r="AW4" s="4" t="s">
        <v>214</v>
      </c>
      <c r="AX4" s="4">
        <v>3.5999999999999999E-3</v>
      </c>
      <c r="BA4" s="4" t="s">
        <v>337</v>
      </c>
      <c r="BB4" s="26">
        <v>0.15540000000000001</v>
      </c>
      <c r="BC4" s="4">
        <v>212</v>
      </c>
      <c r="BD4" s="10">
        <v>3.8850000000000003E-2</v>
      </c>
      <c r="BE4" s="10" t="s">
        <v>338</v>
      </c>
      <c r="BG4" s="5">
        <v>49.58</v>
      </c>
      <c r="BH4" s="9">
        <v>1E-3</v>
      </c>
      <c r="BI4" s="9">
        <v>8.9999999999999998E-4</v>
      </c>
      <c r="BJ4" s="5">
        <v>49.87</v>
      </c>
      <c r="BL4" s="4" t="s">
        <v>57</v>
      </c>
      <c r="BM4" s="10" t="s">
        <v>55</v>
      </c>
      <c r="BN4" s="9"/>
      <c r="BO4" s="4">
        <v>1.5149999999999999</v>
      </c>
      <c r="BP4" s="12">
        <v>2.4000000000000001E-5</v>
      </c>
      <c r="BQ4" s="12">
        <v>1.08E-4</v>
      </c>
      <c r="BR4" s="11">
        <v>1.548</v>
      </c>
      <c r="BU4" s="4" t="s">
        <v>58</v>
      </c>
      <c r="BV4" s="7">
        <v>13.1</v>
      </c>
      <c r="BW4" s="7">
        <v>2.964</v>
      </c>
      <c r="BZ4" s="4" t="s">
        <v>19</v>
      </c>
      <c r="CA4" s="7" t="s">
        <v>0</v>
      </c>
      <c r="CB4" s="7" t="s">
        <v>55</v>
      </c>
      <c r="CC4" s="7">
        <v>9.9000000000000005E-2</v>
      </c>
      <c r="CD4" s="8">
        <v>2.5819999999999999</v>
      </c>
      <c r="CE4" s="7">
        <v>5.1E-5</v>
      </c>
      <c r="CF4" s="7">
        <v>2.2000000000000001E-4</v>
      </c>
      <c r="CG4" s="8">
        <v>2.649</v>
      </c>
      <c r="CH4" s="8" t="str">
        <f>Table613[[#This Row],[Fuel Type]]&amp;" ("&amp;MID(Table613[[#This Row],[Units]],4,2)&amp;")"</f>
        <v>Diesel (L)</v>
      </c>
      <c r="CI4" s="7" t="str">
        <f>Table613[[#This Row],[Transport Mode]]&amp;Table613[[#This Row],[Fuel Type]]&amp;" ("&amp;MID(Table613[[#This Row],[Units]],4,2)&amp;")"</f>
        <v>Light Duty VehicleDiesel (L)</v>
      </c>
      <c r="CJ4" s="6">
        <v>10.638889740000002</v>
      </c>
      <c r="CM4" s="4" t="s">
        <v>24</v>
      </c>
      <c r="CN4" s="4" t="s">
        <v>24</v>
      </c>
      <c r="CO4" s="4" t="s">
        <v>24</v>
      </c>
      <c r="CQ4" s="4" t="s">
        <v>24</v>
      </c>
      <c r="CR4" s="4" t="s">
        <v>24</v>
      </c>
      <c r="CS4" s="4" t="s">
        <v>30</v>
      </c>
      <c r="CT4" s="4" t="s">
        <v>163</v>
      </c>
      <c r="CX4" s="47" t="s">
        <v>119</v>
      </c>
      <c r="CY4" s="51" t="s">
        <v>430</v>
      </c>
      <c r="CZ4" s="60" t="s">
        <v>435</v>
      </c>
      <c r="DA4" s="63"/>
      <c r="DB4" s="62" t="s">
        <v>146</v>
      </c>
      <c r="DC4" s="49" t="s">
        <v>431</v>
      </c>
      <c r="DD4" s="49">
        <v>18</v>
      </c>
    </row>
    <row r="5" spans="1:108" x14ac:dyDescent="0.25">
      <c r="A5" s="14" t="s">
        <v>139</v>
      </c>
      <c r="B5" s="14"/>
      <c r="C5" s="14"/>
      <c r="D5" s="14"/>
      <c r="E5" s="15" t="s">
        <v>140</v>
      </c>
      <c r="F5" s="15" t="s">
        <v>141</v>
      </c>
      <c r="G5" s="15"/>
      <c r="H5" s="14" t="s">
        <v>142</v>
      </c>
      <c r="I5" s="14"/>
      <c r="J5" s="16" t="s">
        <v>131</v>
      </c>
      <c r="K5" s="16" t="s">
        <v>143</v>
      </c>
      <c r="L5" s="16" t="s">
        <v>7</v>
      </c>
      <c r="M5" s="14" t="s">
        <v>144</v>
      </c>
      <c r="N5" s="14" t="s">
        <v>146</v>
      </c>
      <c r="O5" s="19" t="s">
        <v>324</v>
      </c>
      <c r="P5" s="69"/>
      <c r="Q5" s="69" t="s">
        <v>841</v>
      </c>
      <c r="R5" s="69">
        <v>16</v>
      </c>
      <c r="S5" s="71" t="s">
        <v>832</v>
      </c>
      <c r="T5" s="71">
        <v>20</v>
      </c>
      <c r="U5" s="667" t="s">
        <v>832</v>
      </c>
      <c r="V5" s="668">
        <v>20</v>
      </c>
      <c r="W5" s="14" t="s">
        <v>299</v>
      </c>
      <c r="X5" s="14" t="s">
        <v>62</v>
      </c>
      <c r="Y5" s="14" t="s">
        <v>25</v>
      </c>
      <c r="Z5" s="14" t="s">
        <v>27</v>
      </c>
      <c r="AA5" s="14" t="s">
        <v>392</v>
      </c>
      <c r="AB5" s="19" t="s">
        <v>367</v>
      </c>
      <c r="AC5" s="19" t="s">
        <v>368</v>
      </c>
      <c r="AD5" s="19" t="s">
        <v>371</v>
      </c>
      <c r="AE5" s="19" t="s">
        <v>374</v>
      </c>
      <c r="AF5" s="19" t="s">
        <v>382</v>
      </c>
      <c r="AG5" s="19">
        <v>1</v>
      </c>
      <c r="AH5" s="19">
        <v>0.08</v>
      </c>
      <c r="AI5" s="278" t="s">
        <v>346</v>
      </c>
      <c r="AJ5" s="716">
        <v>5.0650000000000001E-2</v>
      </c>
      <c r="AK5" s="716">
        <v>8.6419999999999995</v>
      </c>
      <c r="AL5" s="700" t="s">
        <v>875</v>
      </c>
      <c r="AP5" s="4" t="s">
        <v>298</v>
      </c>
      <c r="BA5" s="4" t="s">
        <v>339</v>
      </c>
      <c r="BB5" s="27">
        <v>4</v>
      </c>
      <c r="BC5" s="25">
        <v>5456.8854568854567</v>
      </c>
      <c r="BD5" s="10">
        <v>1</v>
      </c>
      <c r="BE5" s="10" t="s">
        <v>214</v>
      </c>
      <c r="BG5" s="5">
        <v>49.58</v>
      </c>
      <c r="BH5" s="9">
        <v>1E-3</v>
      </c>
      <c r="BI5" s="9">
        <v>8.9999999999999998E-4</v>
      </c>
      <c r="BJ5" s="5">
        <v>49.87</v>
      </c>
      <c r="BL5" s="4" t="s">
        <v>60</v>
      </c>
      <c r="BM5" s="10" t="s">
        <v>55</v>
      </c>
      <c r="BN5" s="9">
        <v>9.9000000000000005E-2</v>
      </c>
      <c r="BO5" s="4">
        <v>2.6429999999999998</v>
      </c>
      <c r="BP5" s="12">
        <v>2.5999999999999998E-5</v>
      </c>
      <c r="BQ5" s="12">
        <v>3.1000000000000001E-5</v>
      </c>
      <c r="BR5" s="11">
        <v>2.653</v>
      </c>
      <c r="BU5" s="4" t="s">
        <v>61</v>
      </c>
      <c r="BV5" s="7">
        <v>2.5870000000000002</v>
      </c>
      <c r="BW5" s="7">
        <v>0.71899999999999997</v>
      </c>
      <c r="BZ5" s="4" t="s">
        <v>19</v>
      </c>
      <c r="CA5" s="7" t="s">
        <v>57</v>
      </c>
      <c r="CB5" s="7" t="s">
        <v>55</v>
      </c>
      <c r="CC5" s="7"/>
      <c r="CD5" s="8">
        <v>1.5149999999999999</v>
      </c>
      <c r="CE5" s="7">
        <v>6.4000000000000005E-4</v>
      </c>
      <c r="CF5" s="7">
        <v>2.8E-5</v>
      </c>
      <c r="CG5" s="8">
        <v>1.5389999999999999</v>
      </c>
      <c r="CH5" s="8" t="str">
        <f>Table613[[#This Row],[Fuel Type]]&amp;" ("&amp;MID(Table613[[#This Row],[Units]],4,2)&amp;")"</f>
        <v>Propane (L)</v>
      </c>
      <c r="CI5" s="7" t="str">
        <f>Table613[[#This Row],[Transport Mode]]&amp;Table613[[#This Row],[Fuel Type]]&amp;" ("&amp;MID(Table613[[#This Row],[Units]],4,2)&amp;")"</f>
        <v>Light Duty VehiclePropane (L)</v>
      </c>
      <c r="CJ5" s="6">
        <v>7.0305561179999998</v>
      </c>
      <c r="CM5" s="4" t="s">
        <v>22</v>
      </c>
      <c r="CN5" s="4" t="s">
        <v>22</v>
      </c>
      <c r="CO5" s="4" t="s">
        <v>27</v>
      </c>
      <c r="CQ5" s="4" t="s">
        <v>27</v>
      </c>
      <c r="CX5" s="52"/>
      <c r="CY5" s="51" t="s">
        <v>432</v>
      </c>
      <c r="CZ5" s="60" t="s">
        <v>436</v>
      </c>
      <c r="DA5" s="63"/>
      <c r="DB5" s="62" t="s">
        <v>146</v>
      </c>
      <c r="DC5" s="49" t="s">
        <v>321</v>
      </c>
      <c r="DD5" s="49">
        <v>15</v>
      </c>
    </row>
    <row r="6" spans="1:108" x14ac:dyDescent="0.25">
      <c r="A6" s="14" t="s">
        <v>145</v>
      </c>
      <c r="B6" s="14"/>
      <c r="C6" s="14"/>
      <c r="D6" s="14"/>
      <c r="E6" s="15" t="s">
        <v>146</v>
      </c>
      <c r="F6" s="15" t="s">
        <v>147</v>
      </c>
      <c r="G6" s="15"/>
      <c r="H6" s="14" t="s">
        <v>148</v>
      </c>
      <c r="I6" s="14"/>
      <c r="J6" s="16" t="s">
        <v>149</v>
      </c>
      <c r="K6" s="16" t="s">
        <v>112</v>
      </c>
      <c r="L6" s="16"/>
      <c r="M6" s="14" t="s">
        <v>150</v>
      </c>
      <c r="N6" s="14" t="s">
        <v>151</v>
      </c>
      <c r="O6" s="19" t="s">
        <v>292</v>
      </c>
      <c r="P6" s="69"/>
      <c r="Q6" s="69" t="s">
        <v>842</v>
      </c>
      <c r="R6" s="69">
        <v>15</v>
      </c>
      <c r="S6" s="71" t="s">
        <v>833</v>
      </c>
      <c r="T6" s="71">
        <v>15</v>
      </c>
      <c r="U6" s="667" t="s">
        <v>833</v>
      </c>
      <c r="V6" s="668">
        <v>15</v>
      </c>
      <c r="W6" s="14" t="s">
        <v>297</v>
      </c>
      <c r="X6" s="14" t="s">
        <v>65</v>
      </c>
      <c r="Y6" s="14" t="s">
        <v>26</v>
      </c>
      <c r="Z6" s="14" t="s">
        <v>30</v>
      </c>
      <c r="AA6" s="14" t="s">
        <v>393</v>
      </c>
      <c r="AB6" s="19" t="s">
        <v>333</v>
      </c>
      <c r="AC6" s="19" t="s">
        <v>368</v>
      </c>
      <c r="AD6" s="19" t="s">
        <v>371</v>
      </c>
      <c r="AE6" s="19" t="s">
        <v>385</v>
      </c>
      <c r="AF6" s="19" t="s">
        <v>380</v>
      </c>
      <c r="AG6" s="19">
        <v>51</v>
      </c>
      <c r="AH6" s="19">
        <v>0.09</v>
      </c>
      <c r="AI6" s="19"/>
      <c r="AJ6" s="19"/>
      <c r="AK6" s="19"/>
      <c r="AL6" s="700" t="s">
        <v>876</v>
      </c>
      <c r="AP6" s="4" t="s">
        <v>296</v>
      </c>
      <c r="BA6" s="31" t="s">
        <v>57</v>
      </c>
      <c r="BB6" s="26"/>
      <c r="BC6" s="10">
        <v>1.879E-3</v>
      </c>
      <c r="BD6" s="10">
        <v>2.5309999999999999E-2</v>
      </c>
      <c r="BE6" s="10" t="s">
        <v>59</v>
      </c>
      <c r="BG6" s="5">
        <v>59.86</v>
      </c>
      <c r="BH6" s="9">
        <v>8.9999999999999998E-4</v>
      </c>
      <c r="BI6" s="9">
        <v>4.3E-3</v>
      </c>
      <c r="BJ6" s="5">
        <v>61.15</v>
      </c>
      <c r="BL6" s="4" t="s">
        <v>62</v>
      </c>
      <c r="BM6" s="10" t="s">
        <v>55</v>
      </c>
      <c r="BN6" s="9"/>
      <c r="BO6" s="4">
        <v>3.1560000000000001</v>
      </c>
      <c r="BP6" s="12">
        <v>5.7000000000000003E-5</v>
      </c>
      <c r="BQ6" s="12">
        <v>6.3999999999999997E-5</v>
      </c>
      <c r="BR6" s="11">
        <v>3.1760000000000002</v>
      </c>
      <c r="BU6" s="4" t="s">
        <v>63</v>
      </c>
      <c r="BV6" s="7">
        <v>2.5870000000000002</v>
      </c>
      <c r="BW6" s="7">
        <v>0.71899999999999997</v>
      </c>
      <c r="BZ6" s="4" t="s">
        <v>19</v>
      </c>
      <c r="CA6" s="7" t="s">
        <v>2</v>
      </c>
      <c r="CB6" s="7" t="s">
        <v>64</v>
      </c>
      <c r="CC6" s="7"/>
      <c r="CD6" s="8">
        <v>2.738</v>
      </c>
      <c r="CE6" s="7">
        <v>1.2999999999999999E-2</v>
      </c>
      <c r="CF6" s="7">
        <v>8.6000000000000003E-5</v>
      </c>
      <c r="CG6" s="8">
        <v>3.089</v>
      </c>
      <c r="CH6" s="8" t="str">
        <f>Table613[[#This Row],[Fuel Type]]&amp;" ("&amp;MID(Table613[[#This Row],[Units]],4,2)&amp;")"</f>
        <v>Natural Gas (kg)</v>
      </c>
      <c r="CI6" s="7" t="str">
        <f>Table613[[#This Row],[Transport Mode]]&amp;Table613[[#This Row],[Fuel Type]]&amp;" ("&amp;MID(Table613[[#This Row],[Units]],4,2)&amp;")"</f>
        <v>Light Duty VehicleNatural Gas (kg)</v>
      </c>
      <c r="CJ6" s="6">
        <v>6.1667160000000001</v>
      </c>
      <c r="CM6" s="4" t="s">
        <v>27</v>
      </c>
      <c r="CN6" s="4" t="s">
        <v>27</v>
      </c>
      <c r="CX6" s="52"/>
      <c r="CY6" s="51" t="s">
        <v>316</v>
      </c>
      <c r="CZ6" s="60" t="s">
        <v>437</v>
      </c>
      <c r="DA6" s="63"/>
      <c r="DB6" s="62" t="s">
        <v>146</v>
      </c>
      <c r="DC6" s="49" t="s">
        <v>319</v>
      </c>
      <c r="DD6" s="49">
        <v>15</v>
      </c>
    </row>
    <row r="7" spans="1:108" x14ac:dyDescent="0.25">
      <c r="A7" s="14" t="s">
        <v>152</v>
      </c>
      <c r="B7" s="14"/>
      <c r="C7" s="14"/>
      <c r="D7" s="14"/>
      <c r="E7" s="15" t="s">
        <v>153</v>
      </c>
      <c r="F7" s="15" t="s">
        <v>154</v>
      </c>
      <c r="G7" s="15"/>
      <c r="H7" s="14" t="s">
        <v>155</v>
      </c>
      <c r="I7" s="14"/>
      <c r="J7" s="16" t="s">
        <v>146</v>
      </c>
      <c r="K7" s="16" t="s">
        <v>125</v>
      </c>
      <c r="L7" s="16"/>
      <c r="M7" s="14" t="s">
        <v>156</v>
      </c>
      <c r="N7" s="14" t="s">
        <v>295</v>
      </c>
      <c r="O7" s="19" t="s">
        <v>387</v>
      </c>
      <c r="P7" s="69"/>
      <c r="Q7" s="69" t="s">
        <v>843</v>
      </c>
      <c r="R7" s="69">
        <v>20</v>
      </c>
      <c r="S7" s="71" t="s">
        <v>834</v>
      </c>
      <c r="T7" s="71">
        <v>15</v>
      </c>
      <c r="U7" s="667" t="s">
        <v>834</v>
      </c>
      <c r="V7" s="668">
        <v>15</v>
      </c>
      <c r="W7" s="14" t="s">
        <v>294</v>
      </c>
      <c r="X7" s="14" t="s">
        <v>67</v>
      </c>
      <c r="Y7" s="14" t="s">
        <v>28</v>
      </c>
      <c r="Z7" s="14" t="s">
        <v>32</v>
      </c>
      <c r="AA7" s="19" t="s">
        <v>7</v>
      </c>
      <c r="AB7" s="19" t="s">
        <v>334</v>
      </c>
      <c r="AC7" s="19" t="s">
        <v>368</v>
      </c>
      <c r="AD7" s="19" t="s">
        <v>371</v>
      </c>
      <c r="AE7" s="19" t="s">
        <v>385</v>
      </c>
      <c r="AF7" s="19" t="s">
        <v>380</v>
      </c>
      <c r="AG7" s="19">
        <v>11</v>
      </c>
      <c r="AH7" s="19">
        <v>0.1</v>
      </c>
      <c r="AI7" s="19"/>
      <c r="AJ7" s="19"/>
      <c r="AK7" s="19"/>
      <c r="AL7" s="700" t="s">
        <v>877</v>
      </c>
      <c r="AP7" s="4" t="s">
        <v>293</v>
      </c>
      <c r="BA7" s="31" t="s">
        <v>60</v>
      </c>
      <c r="BB7" s="26"/>
      <c r="BC7" s="4">
        <v>0.88500000000000001</v>
      </c>
      <c r="BD7" s="10">
        <v>3.8800000000000001E-2</v>
      </c>
      <c r="BE7" s="10" t="s">
        <v>59</v>
      </c>
      <c r="BF7" s="4">
        <v>2.77</v>
      </c>
      <c r="BG7" s="5">
        <v>68.12</v>
      </c>
      <c r="BH7" s="9">
        <v>6.9999999999999999E-4</v>
      </c>
      <c r="BI7" s="9">
        <v>8.0000000000000004E-4</v>
      </c>
      <c r="BJ7" s="5">
        <v>68.37</v>
      </c>
      <c r="BL7" s="4" t="s">
        <v>65</v>
      </c>
      <c r="BM7" s="10" t="s">
        <v>55</v>
      </c>
      <c r="BN7" s="9"/>
      <c r="BO7" s="4">
        <v>2.56</v>
      </c>
      <c r="BP7" s="12">
        <v>2.5999999999999998E-5</v>
      </c>
      <c r="BQ7" s="12">
        <v>3.1000000000000001E-5</v>
      </c>
      <c r="BR7" s="11">
        <v>2.57</v>
      </c>
      <c r="BU7" s="4" t="s">
        <v>66</v>
      </c>
      <c r="BV7" s="7">
        <v>2.5870000000000002</v>
      </c>
      <c r="BW7" s="7">
        <v>0.71899999999999997</v>
      </c>
      <c r="BZ7" s="4" t="s">
        <v>21</v>
      </c>
      <c r="CA7" s="7" t="s">
        <v>3</v>
      </c>
      <c r="CB7" s="7" t="s">
        <v>55</v>
      </c>
      <c r="CC7" s="7">
        <v>7.5499999999999998E-2</v>
      </c>
      <c r="CD7" s="8">
        <v>2.2000000000000002</v>
      </c>
      <c r="CE7" s="7">
        <v>2.4000000000000001E-4</v>
      </c>
      <c r="CF7" s="7">
        <v>5.8E-4</v>
      </c>
      <c r="CG7" s="8">
        <v>2.379</v>
      </c>
      <c r="CH7" s="8" t="str">
        <f>Table613[[#This Row],[Fuel Type]]&amp;" ("&amp;MID(Table613[[#This Row],[Units]],4,2)&amp;")"</f>
        <v>Gasoline (L)</v>
      </c>
      <c r="CI7" s="7" t="str">
        <f>Table613[[#This Row],[Transport Mode]]&amp;Table613[[#This Row],[Fuel Type]]&amp;" ("&amp;MID(Table613[[#This Row],[Units]],4,2)&amp;")"</f>
        <v>Light Duty Truck (SUV and Minivan)Gasoline (L)</v>
      </c>
      <c r="CJ7" s="6">
        <v>9.7222230000000014</v>
      </c>
      <c r="CX7" s="52"/>
      <c r="CY7" s="51" t="s">
        <v>467</v>
      </c>
      <c r="CZ7" s="60" t="s">
        <v>439</v>
      </c>
      <c r="DA7" s="63"/>
      <c r="DB7" s="62" t="s">
        <v>146</v>
      </c>
      <c r="DC7" s="49" t="s">
        <v>320</v>
      </c>
      <c r="DD7" s="49">
        <v>15</v>
      </c>
    </row>
    <row r="8" spans="1:108" ht="15.75" thickBot="1" x14ac:dyDescent="0.3">
      <c r="A8" s="14"/>
      <c r="B8" s="14"/>
      <c r="C8" s="14"/>
      <c r="D8" s="14"/>
      <c r="E8" s="15" t="s">
        <v>157</v>
      </c>
      <c r="F8" s="15" t="s">
        <v>158</v>
      </c>
      <c r="G8" s="15"/>
      <c r="H8" s="14" t="s">
        <v>159</v>
      </c>
      <c r="I8" s="14"/>
      <c r="J8" s="16" t="s">
        <v>160</v>
      </c>
      <c r="K8" s="16" t="s">
        <v>136</v>
      </c>
      <c r="L8" s="16"/>
      <c r="M8" s="14" t="s">
        <v>161</v>
      </c>
      <c r="N8" s="14" t="s">
        <v>131</v>
      </c>
      <c r="O8" s="29" t="s">
        <v>388</v>
      </c>
      <c r="P8" s="69"/>
      <c r="Q8" s="69" t="s">
        <v>844</v>
      </c>
      <c r="R8" s="69">
        <v>15</v>
      </c>
      <c r="S8" s="72" t="s">
        <v>835</v>
      </c>
      <c r="T8" s="72">
        <v>22</v>
      </c>
      <c r="U8" s="669" t="s">
        <v>835</v>
      </c>
      <c r="V8" s="670">
        <v>22</v>
      </c>
      <c r="W8" s="14" t="s">
        <v>292</v>
      </c>
      <c r="X8" s="14" t="s">
        <v>69</v>
      </c>
      <c r="Y8" s="14" t="s">
        <v>29</v>
      </c>
      <c r="Z8" s="14" t="s">
        <v>163</v>
      </c>
      <c r="AA8" s="14"/>
      <c r="AB8" s="19" t="s">
        <v>335</v>
      </c>
      <c r="AC8" s="19" t="s">
        <v>368</v>
      </c>
      <c r="AD8" s="19" t="s">
        <v>371</v>
      </c>
      <c r="AE8" s="19" t="s">
        <v>385</v>
      </c>
      <c r="AF8" s="19" t="s">
        <v>380</v>
      </c>
      <c r="AG8" s="19">
        <v>14</v>
      </c>
      <c r="AH8" s="19">
        <v>0.11</v>
      </c>
      <c r="AI8" s="19"/>
      <c r="AJ8" s="19"/>
      <c r="AK8" s="19"/>
      <c r="AL8" s="700" t="s">
        <v>701</v>
      </c>
      <c r="AP8" s="4" t="s">
        <v>291</v>
      </c>
      <c r="BA8" s="4" t="s">
        <v>62</v>
      </c>
      <c r="BB8" s="26"/>
      <c r="BC8" s="4">
        <v>0.88500000000000001</v>
      </c>
      <c r="BD8" s="10">
        <v>4.2500000000000003E-2</v>
      </c>
      <c r="BE8" s="10" t="s">
        <v>59</v>
      </c>
      <c r="BG8" s="5">
        <v>74.260000000000005</v>
      </c>
      <c r="BH8" s="9">
        <v>1.2999999999999999E-3</v>
      </c>
      <c r="BI8" s="9">
        <v>1.5E-3</v>
      </c>
      <c r="BJ8" s="5">
        <v>74.739999999999995</v>
      </c>
      <c r="BL8" s="4" t="s">
        <v>67</v>
      </c>
      <c r="BM8" s="10" t="s">
        <v>55</v>
      </c>
      <c r="BN8" s="9">
        <v>9.9000000000000005E-2</v>
      </c>
      <c r="BO8" s="4">
        <v>2.5819999999999999</v>
      </c>
      <c r="BP8" s="12">
        <v>1.3300000000000001E-4</v>
      </c>
      <c r="BQ8" s="12">
        <v>4.0000000000000002E-4</v>
      </c>
      <c r="BR8" s="11">
        <v>2.7050000000000001</v>
      </c>
      <c r="BU8" s="4" t="s">
        <v>68</v>
      </c>
      <c r="BV8" s="7">
        <v>1.1639999999999999</v>
      </c>
      <c r="BW8" s="7">
        <v>0.32300000000000001</v>
      </c>
      <c r="BZ8" s="4" t="s">
        <v>21</v>
      </c>
      <c r="CA8" s="7" t="s">
        <v>0</v>
      </c>
      <c r="CB8" s="7" t="s">
        <v>55</v>
      </c>
      <c r="CC8" s="7">
        <v>9.9000000000000005E-2</v>
      </c>
      <c r="CD8" s="8">
        <v>2.5819999999999999</v>
      </c>
      <c r="CE8" s="7">
        <v>6.7999999999999999E-5</v>
      </c>
      <c r="CF8" s="7">
        <v>2.2000000000000001E-4</v>
      </c>
      <c r="CG8" s="8">
        <v>2.65</v>
      </c>
      <c r="CH8" s="8" t="str">
        <f>Table613[[#This Row],[Fuel Type]]&amp;" ("&amp;MID(Table613[[#This Row],[Units]],4,2)&amp;")"</f>
        <v>Diesel (L)</v>
      </c>
      <c r="CI8" s="7" t="str">
        <f>Table613[[#This Row],[Transport Mode]]&amp;Table613[[#This Row],[Fuel Type]]&amp;" ("&amp;MID(Table613[[#This Row],[Units]],4,2)&amp;")"</f>
        <v>Light Duty Truck (SUV and Minivan)Diesel (L)</v>
      </c>
      <c r="CJ8" s="6">
        <v>10.638889740000002</v>
      </c>
      <c r="CX8" s="52"/>
      <c r="CY8" s="51" t="s">
        <v>918</v>
      </c>
      <c r="CZ8" s="61" t="s">
        <v>440</v>
      </c>
      <c r="DA8" s="63"/>
      <c r="DB8" s="62" t="s">
        <v>146</v>
      </c>
      <c r="DC8" s="49" t="s">
        <v>433</v>
      </c>
      <c r="DD8" s="49">
        <v>15</v>
      </c>
    </row>
    <row r="9" spans="1:108" x14ac:dyDescent="0.25">
      <c r="A9" s="14"/>
      <c r="B9" s="14"/>
      <c r="C9" s="14"/>
      <c r="D9" s="14"/>
      <c r="E9" s="15" t="s">
        <v>164</v>
      </c>
      <c r="F9" s="15" t="s">
        <v>165</v>
      </c>
      <c r="G9" s="15"/>
      <c r="H9" s="14" t="s">
        <v>166</v>
      </c>
      <c r="I9" s="14"/>
      <c r="J9" s="16" t="s">
        <v>167</v>
      </c>
      <c r="K9" s="16" t="s">
        <v>168</v>
      </c>
      <c r="L9" s="16"/>
      <c r="M9" s="14"/>
      <c r="N9" s="14" t="s">
        <v>133</v>
      </c>
      <c r="O9" s="19" t="s">
        <v>7</v>
      </c>
      <c r="P9" s="69"/>
      <c r="Q9" s="69" t="s">
        <v>845</v>
      </c>
      <c r="R9" s="69">
        <v>15</v>
      </c>
      <c r="S9" s="73" t="s">
        <v>836</v>
      </c>
      <c r="T9" s="73">
        <v>15</v>
      </c>
      <c r="U9" s="671" t="s">
        <v>836</v>
      </c>
      <c r="V9" s="672">
        <v>15</v>
      </c>
      <c r="W9" s="14" t="s">
        <v>290</v>
      </c>
      <c r="X9" s="14" t="s">
        <v>3</v>
      </c>
      <c r="Y9" s="14" t="s">
        <v>31</v>
      </c>
      <c r="Z9" s="14"/>
      <c r="AA9" s="14"/>
      <c r="AB9" s="19" t="s">
        <v>336</v>
      </c>
      <c r="AC9" s="19" t="s">
        <v>368</v>
      </c>
      <c r="AD9" s="19" t="s">
        <v>371</v>
      </c>
      <c r="AE9" s="19" t="s">
        <v>385</v>
      </c>
      <c r="AF9" s="19" t="s">
        <v>380</v>
      </c>
      <c r="AG9" s="19">
        <v>26</v>
      </c>
      <c r="AH9" s="19">
        <v>0.12</v>
      </c>
      <c r="AI9" s="19"/>
      <c r="AJ9" s="19"/>
      <c r="AK9" s="19"/>
      <c r="AL9" s="700" t="s">
        <v>702</v>
      </c>
      <c r="AP9" s="4" t="s">
        <v>289</v>
      </c>
      <c r="BA9" s="4" t="s">
        <v>65</v>
      </c>
      <c r="BB9" s="26"/>
      <c r="BC9" s="4">
        <v>0.81899999999999995</v>
      </c>
      <c r="BD9" s="10">
        <v>3.7679999999999998E-2</v>
      </c>
      <c r="BE9" s="10" t="s">
        <v>59</v>
      </c>
      <c r="BG9" s="5">
        <v>67.94</v>
      </c>
      <c r="BH9" s="9">
        <v>6.9999999999999999E-4</v>
      </c>
      <c r="BI9" s="9">
        <v>8.0000000000000004E-4</v>
      </c>
      <c r="BJ9" s="5">
        <v>68.2</v>
      </c>
      <c r="BL9" s="4" t="s">
        <v>69</v>
      </c>
      <c r="BM9" s="10" t="s">
        <v>55</v>
      </c>
      <c r="BN9" s="9">
        <v>9.9000000000000005E-2</v>
      </c>
      <c r="BO9" s="4">
        <v>2.5819999999999999</v>
      </c>
      <c r="BP9" s="12">
        <v>1.4999999999999999E-4</v>
      </c>
      <c r="BQ9" s="12">
        <v>1.1000000000000001E-3</v>
      </c>
      <c r="BR9" s="11">
        <v>2.9140000000000001</v>
      </c>
      <c r="BU9" s="4" t="s">
        <v>70</v>
      </c>
      <c r="BV9" s="7">
        <v>13.1</v>
      </c>
      <c r="BW9" s="7">
        <v>2.964</v>
      </c>
      <c r="BZ9" s="4" t="s">
        <v>21</v>
      </c>
      <c r="CA9" s="7" t="s">
        <v>57</v>
      </c>
      <c r="CB9" s="7" t="s">
        <v>55</v>
      </c>
      <c r="CC9" s="7"/>
      <c r="CD9" s="8">
        <v>1.5149999999999999</v>
      </c>
      <c r="CE9" s="7">
        <v>6.4000000000000005E-4</v>
      </c>
      <c r="CF9" s="7">
        <v>2.8E-5</v>
      </c>
      <c r="CG9" s="8">
        <v>1.5389999999999999</v>
      </c>
      <c r="CH9" s="8" t="str">
        <f>Table613[[#This Row],[Fuel Type]]&amp;" ("&amp;MID(Table613[[#This Row],[Units]],4,2)&amp;")"</f>
        <v>Propane (L)</v>
      </c>
      <c r="CI9" s="7" t="str">
        <f>Table613[[#This Row],[Transport Mode]]&amp;Table613[[#This Row],[Fuel Type]]&amp;" ("&amp;MID(Table613[[#This Row],[Units]],4,2)&amp;")"</f>
        <v>Light Duty Truck (SUV and Minivan)Propane (L)</v>
      </c>
      <c r="CJ9" s="6">
        <v>7.0305561179999998</v>
      </c>
      <c r="CX9" s="53"/>
      <c r="CY9" s="56"/>
      <c r="CZ9" s="60" t="s">
        <v>7</v>
      </c>
      <c r="DA9" s="64"/>
      <c r="DB9" s="62" t="s">
        <v>146</v>
      </c>
      <c r="DC9" s="49" t="s">
        <v>322</v>
      </c>
      <c r="DD9" s="49">
        <v>15</v>
      </c>
    </row>
    <row r="10" spans="1:108" x14ac:dyDescent="0.25">
      <c r="A10" s="14"/>
      <c r="B10" s="14"/>
      <c r="C10" s="14"/>
      <c r="D10" s="14"/>
      <c r="E10" s="15" t="s">
        <v>170</v>
      </c>
      <c r="F10" s="15" t="s">
        <v>146</v>
      </c>
      <c r="G10" s="15"/>
      <c r="H10" s="14" t="s">
        <v>171</v>
      </c>
      <c r="I10" s="14"/>
      <c r="J10" s="16" t="s">
        <v>172</v>
      </c>
      <c r="K10" s="16" t="s">
        <v>173</v>
      </c>
      <c r="L10" s="16"/>
      <c r="M10" s="14"/>
      <c r="N10" s="14" t="s">
        <v>162</v>
      </c>
      <c r="O10" s="14"/>
      <c r="P10" s="69"/>
      <c r="Q10" s="69" t="s">
        <v>846</v>
      </c>
      <c r="R10" s="69">
        <v>15</v>
      </c>
      <c r="S10" s="73" t="s">
        <v>837</v>
      </c>
      <c r="T10" s="73">
        <v>15</v>
      </c>
      <c r="U10" s="671" t="s">
        <v>837</v>
      </c>
      <c r="V10" s="672">
        <v>15</v>
      </c>
      <c r="W10" s="14" t="s">
        <v>288</v>
      </c>
      <c r="X10" s="14" t="s">
        <v>17</v>
      </c>
      <c r="Y10" s="14"/>
      <c r="Z10" s="14"/>
      <c r="AA10" s="14"/>
      <c r="AB10" s="19" t="s">
        <v>375</v>
      </c>
      <c r="AC10" s="19" t="s">
        <v>369</v>
      </c>
      <c r="AD10" s="19" t="s">
        <v>407</v>
      </c>
      <c r="AE10" s="19" t="s">
        <v>374</v>
      </c>
      <c r="AF10" s="19" t="s">
        <v>373</v>
      </c>
      <c r="AG10" s="19" t="s">
        <v>380</v>
      </c>
      <c r="AH10" s="19">
        <v>0.13</v>
      </c>
      <c r="AI10" s="19"/>
      <c r="AJ10" s="19"/>
      <c r="AK10" s="19"/>
      <c r="AL10" s="700" t="s">
        <v>878</v>
      </c>
      <c r="AP10" s="4" t="s">
        <v>287</v>
      </c>
      <c r="BA10" s="4" t="s">
        <v>67</v>
      </c>
      <c r="BB10" s="26"/>
      <c r="BC10" s="4">
        <v>0.875</v>
      </c>
      <c r="BD10" s="10">
        <v>3.8300000000000001E-2</v>
      </c>
      <c r="BE10" s="10" t="s">
        <v>59</v>
      </c>
      <c r="BF10" s="4">
        <v>2.77</v>
      </c>
      <c r="BG10" s="5">
        <v>67.430000000000007</v>
      </c>
      <c r="BH10" s="9">
        <v>3.5000000000000001E-3</v>
      </c>
      <c r="BI10" s="9">
        <v>1.04E-2</v>
      </c>
      <c r="BJ10" s="5">
        <v>70.62</v>
      </c>
      <c r="BL10" s="4" t="s">
        <v>3</v>
      </c>
      <c r="BM10" s="10" t="s">
        <v>55</v>
      </c>
      <c r="BN10" s="9">
        <v>7.5499999999999998E-2</v>
      </c>
      <c r="BO10" s="4">
        <v>2.2000000000000002</v>
      </c>
      <c r="BP10" s="12">
        <v>2.7000000000000001E-3</v>
      </c>
      <c r="BQ10" s="12">
        <v>5.0000000000000002E-5</v>
      </c>
      <c r="BR10" s="11">
        <v>2.2829999999999999</v>
      </c>
      <c r="BU10" s="4" t="s">
        <v>71</v>
      </c>
      <c r="BV10" s="7">
        <v>2.5870000000000002</v>
      </c>
      <c r="BW10" s="7">
        <v>0.71899999999999997</v>
      </c>
      <c r="BZ10" s="4" t="s">
        <v>21</v>
      </c>
      <c r="CA10" s="7" t="s">
        <v>2</v>
      </c>
      <c r="CB10" s="7" t="s">
        <v>64</v>
      </c>
      <c r="CC10" s="7"/>
      <c r="CD10" s="8">
        <v>2.738</v>
      </c>
      <c r="CE10" s="7">
        <v>1.2999999999999999E-2</v>
      </c>
      <c r="CF10" s="7">
        <v>8.6000000000000003E-5</v>
      </c>
      <c r="CG10" s="8">
        <v>3.089</v>
      </c>
      <c r="CH10" s="8" t="str">
        <f>Table613[[#This Row],[Fuel Type]]&amp;" ("&amp;MID(Table613[[#This Row],[Units]],4,2)&amp;")"</f>
        <v>Natural Gas (kg)</v>
      </c>
      <c r="CI10" s="7" t="str">
        <f>Table613[[#This Row],[Transport Mode]]&amp;Table613[[#This Row],[Fuel Type]]&amp;" ("&amp;MID(Table613[[#This Row],[Units]],4,2)&amp;")"</f>
        <v>Light Duty Truck (SUV and Minivan)Natural Gas (kg)</v>
      </c>
      <c r="CJ10" s="6">
        <v>6.1667160000000001</v>
      </c>
      <c r="CX10" s="53"/>
      <c r="CY10" s="51"/>
      <c r="CZ10" s="51" t="s">
        <v>918</v>
      </c>
      <c r="DA10" s="63"/>
      <c r="DB10" s="62" t="s">
        <v>146</v>
      </c>
      <c r="DC10" s="49" t="s">
        <v>324</v>
      </c>
      <c r="DD10" s="49">
        <v>20</v>
      </c>
    </row>
    <row r="11" spans="1:108" x14ac:dyDescent="0.25">
      <c r="A11" s="14"/>
      <c r="B11" s="14"/>
      <c r="C11" s="14"/>
      <c r="D11" s="14"/>
      <c r="E11" s="15" t="s">
        <v>175</v>
      </c>
      <c r="F11" s="15" t="s">
        <v>176</v>
      </c>
      <c r="G11" s="15"/>
      <c r="H11" s="14" t="s">
        <v>177</v>
      </c>
      <c r="I11" s="14"/>
      <c r="J11" s="16" t="s">
        <v>178</v>
      </c>
      <c r="K11" s="16" t="s">
        <v>179</v>
      </c>
      <c r="L11" s="16"/>
      <c r="M11" s="14"/>
      <c r="N11" s="14" t="s">
        <v>101</v>
      </c>
      <c r="O11" s="14"/>
      <c r="P11" s="69"/>
      <c r="Q11" s="69" t="s">
        <v>847</v>
      </c>
      <c r="R11" s="69">
        <v>22</v>
      </c>
      <c r="S11" s="73"/>
      <c r="T11" s="73"/>
      <c r="U11" s="671" t="s">
        <v>917</v>
      </c>
      <c r="V11" s="672">
        <v>12</v>
      </c>
      <c r="W11" s="14" t="s">
        <v>286</v>
      </c>
      <c r="X11" s="14" t="s">
        <v>16</v>
      </c>
      <c r="Y11" s="14"/>
      <c r="Z11" s="14"/>
      <c r="AA11" s="14"/>
      <c r="AB11" s="19"/>
      <c r="AC11" s="19"/>
      <c r="AD11" s="19"/>
      <c r="AE11" s="19"/>
      <c r="AF11" s="19"/>
      <c r="AG11" s="19"/>
      <c r="AH11" s="19"/>
      <c r="AI11" s="19"/>
      <c r="AJ11" s="19"/>
      <c r="AK11" s="19"/>
      <c r="AL11" s="700" t="s">
        <v>879</v>
      </c>
      <c r="AP11" s="4" t="s">
        <v>285</v>
      </c>
      <c r="BA11" s="4" t="s">
        <v>69</v>
      </c>
      <c r="BB11" s="26"/>
      <c r="BD11" s="10">
        <v>3.8300000000000001E-2</v>
      </c>
      <c r="BE11" s="10" t="s">
        <v>59</v>
      </c>
      <c r="BF11" s="4">
        <v>2.77</v>
      </c>
      <c r="BG11" s="5">
        <v>67.430000000000007</v>
      </c>
      <c r="BH11" s="9">
        <v>3.8999999999999998E-3</v>
      </c>
      <c r="BI11" s="9">
        <v>2.87E-2</v>
      </c>
      <c r="BJ11" s="5">
        <v>76.08</v>
      </c>
      <c r="BL11" s="4" t="s">
        <v>17</v>
      </c>
      <c r="BM11" s="10" t="s">
        <v>64</v>
      </c>
      <c r="BN11" s="9">
        <v>0.84</v>
      </c>
      <c r="BP11" s="12">
        <v>9.0000000000000006E-5</v>
      </c>
      <c r="BQ11" s="12">
        <v>6.0000000000000002E-5</v>
      </c>
      <c r="BR11" s="11">
        <v>0.02</v>
      </c>
      <c r="BU11" s="4" t="s">
        <v>72</v>
      </c>
      <c r="BV11" s="7">
        <v>2.5870000000000002</v>
      </c>
      <c r="BW11" s="7">
        <v>0.71899999999999997</v>
      </c>
      <c r="BZ11" s="4" t="s">
        <v>23</v>
      </c>
      <c r="CA11" s="7" t="s">
        <v>3</v>
      </c>
      <c r="CB11" s="7" t="s">
        <v>55</v>
      </c>
      <c r="CC11" s="7">
        <v>7.5499999999999998E-2</v>
      </c>
      <c r="CD11" s="8">
        <v>2.2000000000000002</v>
      </c>
      <c r="CE11" s="7">
        <v>6.7999999999999999E-5</v>
      </c>
      <c r="CF11" s="7">
        <v>2E-3</v>
      </c>
      <c r="CG11" s="8">
        <v>2.262</v>
      </c>
      <c r="CH11" s="8" t="str">
        <f>Table613[[#This Row],[Fuel Type]]&amp;" ("&amp;MID(Table613[[#This Row],[Units]],4,2)&amp;")"</f>
        <v>Gasoline (L)</v>
      </c>
      <c r="CI11" s="7" t="str">
        <f>Table613[[#This Row],[Transport Mode]]&amp;Table613[[#This Row],[Fuel Type]]&amp;" ("&amp;MID(Table613[[#This Row],[Units]],4,2)&amp;")"</f>
        <v>Heavy-dutyGasoline (L)</v>
      </c>
      <c r="CJ11" s="6">
        <v>6.1667160000000001</v>
      </c>
      <c r="CX11" s="53"/>
      <c r="CY11" s="51"/>
      <c r="CZ11" s="60"/>
      <c r="DA11" s="63"/>
      <c r="DB11" s="62" t="s">
        <v>146</v>
      </c>
      <c r="DC11" s="49" t="s">
        <v>325</v>
      </c>
      <c r="DD11" s="49">
        <v>15</v>
      </c>
    </row>
    <row r="12" spans="1:108" x14ac:dyDescent="0.25">
      <c r="A12" s="14"/>
      <c r="B12" s="14"/>
      <c r="C12" s="14"/>
      <c r="D12" s="14"/>
      <c r="E12" s="15" t="s">
        <v>181</v>
      </c>
      <c r="F12" s="15" t="s">
        <v>7</v>
      </c>
      <c r="G12" s="15"/>
      <c r="H12" s="14" t="s">
        <v>182</v>
      </c>
      <c r="I12" s="14"/>
      <c r="J12" s="16" t="s">
        <v>183</v>
      </c>
      <c r="K12" s="16" t="s">
        <v>149</v>
      </c>
      <c r="L12" s="16"/>
      <c r="M12" s="14"/>
      <c r="N12" s="14" t="s">
        <v>7</v>
      </c>
      <c r="O12" s="14"/>
      <c r="P12" s="69"/>
      <c r="Q12" s="69" t="s">
        <v>848</v>
      </c>
      <c r="R12" s="69">
        <v>15</v>
      </c>
      <c r="S12" s="73"/>
      <c r="T12" s="73"/>
      <c r="U12" s="671" t="s">
        <v>838</v>
      </c>
      <c r="V12" s="672">
        <v>18</v>
      </c>
      <c r="W12" s="14" t="s">
        <v>284</v>
      </c>
      <c r="X12" s="14" t="s">
        <v>75</v>
      </c>
      <c r="Y12" s="14"/>
      <c r="Z12" s="14"/>
      <c r="AA12" s="14"/>
      <c r="AB12" s="19"/>
      <c r="AC12" s="19"/>
      <c r="AD12" s="19"/>
      <c r="AE12" s="19"/>
      <c r="AF12" s="19"/>
      <c r="AG12" s="19"/>
      <c r="AH12" s="19"/>
      <c r="AI12" s="19"/>
      <c r="AJ12" s="19"/>
      <c r="AK12" s="19"/>
      <c r="AL12" s="700" t="s">
        <v>703</v>
      </c>
      <c r="AP12" s="4" t="s">
        <v>283</v>
      </c>
      <c r="BA12" s="4" t="s">
        <v>3</v>
      </c>
      <c r="BB12" s="26">
        <v>1.33</v>
      </c>
      <c r="BC12" s="4">
        <v>0.72599999999999998</v>
      </c>
      <c r="BD12" s="10">
        <v>3.5000000000000003E-2</v>
      </c>
      <c r="BE12" s="10" t="s">
        <v>59</v>
      </c>
      <c r="BF12" s="4">
        <v>3.22</v>
      </c>
      <c r="BG12" s="5">
        <v>62.86</v>
      </c>
      <c r="BH12" s="9">
        <v>7.7100000000000002E-2</v>
      </c>
      <c r="BI12" s="9">
        <v>1.4E-3</v>
      </c>
      <c r="BJ12" s="5">
        <v>65.22</v>
      </c>
      <c r="BL12" s="4" t="s">
        <v>16</v>
      </c>
      <c r="BM12" s="10" t="s">
        <v>64</v>
      </c>
      <c r="BN12" s="9">
        <v>1.696</v>
      </c>
      <c r="BP12" s="12">
        <v>1.4999999999999999E-2</v>
      </c>
      <c r="BQ12" s="12">
        <v>1.6000000000000001E-4</v>
      </c>
      <c r="BR12" s="11">
        <v>0.42299999999999999</v>
      </c>
      <c r="BU12" s="4" t="s">
        <v>74</v>
      </c>
      <c r="BV12" s="701" t="s">
        <v>520</v>
      </c>
      <c r="BW12" s="7">
        <v>2.964</v>
      </c>
      <c r="BZ12" s="4" t="s">
        <v>23</v>
      </c>
      <c r="CA12" s="7" t="s">
        <v>0</v>
      </c>
      <c r="CB12" s="7" t="s">
        <v>55</v>
      </c>
      <c r="CC12" s="7">
        <v>9.9000000000000005E-2</v>
      </c>
      <c r="CD12" s="8">
        <v>2.5819999999999999</v>
      </c>
      <c r="CE12" s="7">
        <v>1.1E-4</v>
      </c>
      <c r="CF12" s="7">
        <v>1.5100000000000001E-4</v>
      </c>
      <c r="CG12" s="8">
        <v>2.63</v>
      </c>
      <c r="CH12" s="8" t="str">
        <f>Table613[[#This Row],[Fuel Type]]&amp;" ("&amp;MID(Table613[[#This Row],[Units]],4,2)&amp;")"</f>
        <v>Diesel (L)</v>
      </c>
      <c r="CI12" s="7" t="str">
        <f>Table613[[#This Row],[Transport Mode]]&amp;Table613[[#This Row],[Fuel Type]]&amp;" ("&amp;MID(Table613[[#This Row],[Units]],4,2)&amp;")"</f>
        <v>Heavy-dutyDiesel (L)</v>
      </c>
      <c r="CJ12" s="6">
        <v>6.1667160000000001</v>
      </c>
      <c r="CX12" s="53"/>
      <c r="CY12" s="51"/>
      <c r="CZ12" s="60"/>
      <c r="DA12" s="63"/>
      <c r="DB12" s="62" t="s">
        <v>146</v>
      </c>
      <c r="DC12" s="49" t="s">
        <v>438</v>
      </c>
      <c r="DD12" s="49">
        <v>18</v>
      </c>
    </row>
    <row r="13" spans="1:108" x14ac:dyDescent="0.25">
      <c r="A13" s="14"/>
      <c r="B13" s="14"/>
      <c r="C13" s="14"/>
      <c r="D13" s="14"/>
      <c r="E13" s="15" t="s">
        <v>185</v>
      </c>
      <c r="F13" s="15" t="s">
        <v>138</v>
      </c>
      <c r="G13" s="15"/>
      <c r="H13" s="14" t="s">
        <v>186</v>
      </c>
      <c r="I13" s="14"/>
      <c r="J13" s="16" t="s">
        <v>187</v>
      </c>
      <c r="K13" s="16" t="s">
        <v>7</v>
      </c>
      <c r="L13" s="16"/>
      <c r="M13" s="14"/>
      <c r="N13" s="14"/>
      <c r="O13" s="14"/>
      <c r="P13" s="69"/>
      <c r="Q13" s="69" t="s">
        <v>849</v>
      </c>
      <c r="R13" s="69">
        <v>15</v>
      </c>
      <c r="S13" s="73"/>
      <c r="T13" s="73"/>
      <c r="U13" s="671" t="s">
        <v>839</v>
      </c>
      <c r="V13" s="672">
        <v>17</v>
      </c>
      <c r="W13" s="14"/>
      <c r="X13" s="14" t="s">
        <v>77</v>
      </c>
      <c r="Y13" s="14"/>
      <c r="Z13" s="14"/>
      <c r="AA13" s="14"/>
      <c r="AB13" s="19"/>
      <c r="AC13" s="19"/>
      <c r="AD13" s="19"/>
      <c r="AE13" s="19"/>
      <c r="AF13" s="19"/>
      <c r="AG13" s="19"/>
      <c r="AH13" s="19"/>
      <c r="AI13" s="19"/>
      <c r="AJ13" s="19"/>
      <c r="AK13" s="19"/>
      <c r="AL13" s="700" t="s">
        <v>880</v>
      </c>
      <c r="AP13" s="4" t="s">
        <v>282</v>
      </c>
      <c r="BA13" s="57" t="s">
        <v>445</v>
      </c>
      <c r="BB13" s="26"/>
      <c r="BD13" s="10">
        <v>8.9999999999999993E-3</v>
      </c>
      <c r="BE13" s="10" t="s">
        <v>73</v>
      </c>
      <c r="BF13" s="4">
        <v>93.33</v>
      </c>
      <c r="BG13" s="5"/>
      <c r="BH13" s="9">
        <v>0.01</v>
      </c>
      <c r="BI13" s="9">
        <v>6.7000000000000002E-3</v>
      </c>
      <c r="BJ13" s="5">
        <v>2.2400000000000002</v>
      </c>
      <c r="BL13" s="4" t="s">
        <v>75</v>
      </c>
      <c r="BM13" s="10" t="s">
        <v>55</v>
      </c>
      <c r="BN13" s="9">
        <v>1.5089999999999999</v>
      </c>
      <c r="BP13" s="12">
        <v>2.7000000000000001E-3</v>
      </c>
      <c r="BQ13" s="12">
        <v>5.0000000000000002E-5</v>
      </c>
      <c r="BR13" s="11">
        <v>2.2829999999999999</v>
      </c>
      <c r="BU13" s="4" t="s">
        <v>76</v>
      </c>
      <c r="BV13" s="7">
        <v>793</v>
      </c>
      <c r="BW13" s="7">
        <v>220</v>
      </c>
      <c r="BZ13" s="4" t="s">
        <v>23</v>
      </c>
      <c r="CA13" s="7" t="s">
        <v>2</v>
      </c>
      <c r="CB13" s="7" t="s">
        <v>64</v>
      </c>
      <c r="CC13" s="7"/>
      <c r="CD13" s="8">
        <v>2.738</v>
      </c>
      <c r="CE13" s="7">
        <v>1.2999999999999999E-2</v>
      </c>
      <c r="CF13" s="7">
        <v>8.6000000000000003E-5</v>
      </c>
      <c r="CG13" s="8">
        <v>3.089</v>
      </c>
      <c r="CH13" s="8" t="str">
        <f>Table613[[#This Row],[Fuel Type]]&amp;" ("&amp;MID(Table613[[#This Row],[Units]],4,2)&amp;")"</f>
        <v>Natural Gas (kg)</v>
      </c>
      <c r="CI13" s="7" t="str">
        <f>Table613[[#This Row],[Transport Mode]]&amp;Table613[[#This Row],[Fuel Type]]&amp;" ("&amp;MID(Table613[[#This Row],[Units]],4,2)&amp;")"</f>
        <v>Heavy-dutyNatural Gas (kg)</v>
      </c>
      <c r="CJ13" s="6">
        <v>6.1667160000000001</v>
      </c>
      <c r="CX13" s="53"/>
      <c r="CY13" s="51"/>
      <c r="CZ13" s="60"/>
      <c r="DA13" s="63"/>
      <c r="DB13" s="62" t="s">
        <v>146</v>
      </c>
      <c r="DC13" s="49" t="s">
        <v>326</v>
      </c>
      <c r="DD13" s="49">
        <v>15</v>
      </c>
    </row>
    <row r="14" spans="1:108" x14ac:dyDescent="0.25">
      <c r="A14" s="14"/>
      <c r="B14" s="14"/>
      <c r="C14" s="14"/>
      <c r="D14" s="14"/>
      <c r="E14" s="15" t="s">
        <v>189</v>
      </c>
      <c r="F14" s="15" t="s">
        <v>114</v>
      </c>
      <c r="G14" s="15"/>
      <c r="H14" s="14" t="s">
        <v>190</v>
      </c>
      <c r="I14" s="14"/>
      <c r="J14" s="16" t="s">
        <v>191</v>
      </c>
      <c r="K14" s="16"/>
      <c r="L14" s="16"/>
      <c r="M14" s="14"/>
      <c r="N14" s="14"/>
      <c r="O14" s="14"/>
      <c r="P14" s="70"/>
      <c r="Q14" s="70" t="s">
        <v>850</v>
      </c>
      <c r="R14" s="70">
        <v>15</v>
      </c>
      <c r="S14" s="73"/>
      <c r="T14" s="73"/>
      <c r="U14" s="671" t="s">
        <v>840</v>
      </c>
      <c r="V14" s="672">
        <v>18</v>
      </c>
      <c r="W14" s="14"/>
      <c r="X14" s="14" t="s">
        <v>18</v>
      </c>
      <c r="Y14" s="14"/>
      <c r="Z14" s="14"/>
      <c r="AA14" s="14"/>
      <c r="AB14" s="19"/>
      <c r="AC14" s="19"/>
      <c r="AD14" s="19"/>
      <c r="AE14" s="19"/>
      <c r="AF14" s="19"/>
      <c r="AG14" s="19"/>
      <c r="AH14" s="19"/>
      <c r="AI14" s="19"/>
      <c r="AJ14" s="19"/>
      <c r="AK14" s="19"/>
      <c r="AL14" s="700" t="s">
        <v>704</v>
      </c>
      <c r="AP14" s="4" t="s">
        <v>281</v>
      </c>
      <c r="BA14" s="57" t="s">
        <v>446</v>
      </c>
      <c r="BB14" s="26"/>
      <c r="BD14" s="10">
        <v>1.7999999999999999E-2</v>
      </c>
      <c r="BE14" s="10" t="s">
        <v>73</v>
      </c>
      <c r="BF14" s="4">
        <v>94.22</v>
      </c>
      <c r="BG14" s="5"/>
      <c r="BH14" s="9">
        <v>8.3330000000000001E-2</v>
      </c>
      <c r="BI14" s="9">
        <v>8.8999999999999999E-3</v>
      </c>
      <c r="BJ14" s="5">
        <v>23.48</v>
      </c>
      <c r="BL14" s="4" t="s">
        <v>77</v>
      </c>
      <c r="BM14" s="10" t="s">
        <v>55</v>
      </c>
      <c r="BN14" s="9">
        <v>2.4740000000000002</v>
      </c>
      <c r="BP14" s="12">
        <v>1.3300000000000001E-4</v>
      </c>
      <c r="BQ14" s="12">
        <v>4.0000000000000002E-4</v>
      </c>
      <c r="BR14" s="11">
        <v>2.7050000000000001</v>
      </c>
      <c r="BU14" s="4" t="s">
        <v>78</v>
      </c>
      <c r="BV14" s="7">
        <v>88</v>
      </c>
      <c r="BW14" s="7">
        <v>24</v>
      </c>
      <c r="BZ14" s="4" t="s">
        <v>25</v>
      </c>
      <c r="CA14" s="7" t="s">
        <v>3</v>
      </c>
      <c r="CB14" s="7" t="s">
        <v>55</v>
      </c>
      <c r="CC14" s="7">
        <v>7.5499999999999998E-2</v>
      </c>
      <c r="CD14" s="8">
        <v>2.2000000000000002</v>
      </c>
      <c r="CE14" s="7">
        <v>7.6999999999999996E-4</v>
      </c>
      <c r="CF14" s="7">
        <v>4.1E-5</v>
      </c>
      <c r="CG14" s="8">
        <v>2.2320000000000002</v>
      </c>
      <c r="CH14" s="8" t="str">
        <f>Table613[[#This Row],[Fuel Type]]&amp;" ("&amp;MID(Table613[[#This Row],[Units]],4,2)&amp;")"</f>
        <v>Gasoline (L)</v>
      </c>
      <c r="CI14" s="7" t="str">
        <f>Table613[[#This Row],[Transport Mode]]&amp;Table613[[#This Row],[Fuel Type]]&amp;" ("&amp;MID(Table613[[#This Row],[Units]],4,2)&amp;")"</f>
        <v>MotorcycleGasoline (L)</v>
      </c>
      <c r="CJ14" s="6">
        <v>6.1667160000000001</v>
      </c>
      <c r="CX14" s="53"/>
      <c r="CY14" s="51"/>
      <c r="CZ14" s="60"/>
      <c r="DA14" s="63"/>
      <c r="DB14" s="62" t="s">
        <v>146</v>
      </c>
      <c r="DC14" s="49" t="s">
        <v>316</v>
      </c>
      <c r="DD14" s="50">
        <v>22</v>
      </c>
    </row>
    <row r="15" spans="1:108" ht="18" thickBot="1" x14ac:dyDescent="0.3">
      <c r="A15" s="14"/>
      <c r="B15" s="14"/>
      <c r="C15" s="14"/>
      <c r="D15" s="14"/>
      <c r="E15" s="15" t="s">
        <v>193</v>
      </c>
      <c r="F15" s="15" t="s">
        <v>194</v>
      </c>
      <c r="G15" s="15"/>
      <c r="H15" s="14" t="s">
        <v>195</v>
      </c>
      <c r="I15" s="14"/>
      <c r="J15" s="16" t="s">
        <v>196</v>
      </c>
      <c r="K15" s="16"/>
      <c r="L15" s="16"/>
      <c r="M15" s="14"/>
      <c r="N15" s="14"/>
      <c r="O15" s="14"/>
      <c r="P15" s="70"/>
      <c r="Q15" s="69" t="s">
        <v>851</v>
      </c>
      <c r="R15" s="70">
        <v>15</v>
      </c>
      <c r="S15" s="73"/>
      <c r="T15" s="73"/>
      <c r="U15" s="671" t="s">
        <v>841</v>
      </c>
      <c r="V15" s="672">
        <v>16</v>
      </c>
      <c r="W15" s="14"/>
      <c r="X15" s="14" t="s">
        <v>7</v>
      </c>
      <c r="Y15" s="14"/>
      <c r="Z15" s="14"/>
      <c r="AA15" s="14"/>
      <c r="AB15" s="19"/>
      <c r="AC15" s="19"/>
      <c r="AD15" s="19"/>
      <c r="AE15" s="19"/>
      <c r="AF15" s="19"/>
      <c r="AG15" s="19"/>
      <c r="AH15" s="19"/>
      <c r="AI15" s="19"/>
      <c r="AJ15" s="19"/>
      <c r="AK15" s="19"/>
      <c r="AL15" s="700" t="s">
        <v>705</v>
      </c>
      <c r="AP15" s="4" t="s">
        <v>280</v>
      </c>
      <c r="BA15" s="4" t="s">
        <v>75</v>
      </c>
      <c r="BB15" s="26"/>
      <c r="BC15" s="4">
        <v>0.78900000000000003</v>
      </c>
      <c r="BD15" s="10">
        <v>2.342E-2</v>
      </c>
      <c r="BE15" s="10" t="s">
        <v>59</v>
      </c>
      <c r="BF15" s="4">
        <v>64.430000000000007</v>
      </c>
      <c r="BG15" s="5"/>
      <c r="BH15" s="9">
        <f>BH12</f>
        <v>7.7100000000000002E-2</v>
      </c>
      <c r="BI15" s="9">
        <f>BI12</f>
        <v>1.4E-3</v>
      </c>
      <c r="BJ15" s="5">
        <f>BJ12</f>
        <v>65.22</v>
      </c>
      <c r="BL15" s="4" t="s">
        <v>18</v>
      </c>
      <c r="BM15" s="10" t="s">
        <v>53</v>
      </c>
      <c r="BN15" s="9">
        <v>1.9259999999999999</v>
      </c>
      <c r="BP15" s="12">
        <v>3.6999999999999998E-5</v>
      </c>
      <c r="BQ15" s="12">
        <v>3.4999999999999997E-5</v>
      </c>
      <c r="BR15" s="11">
        <v>1.0999999999999999E-2</v>
      </c>
      <c r="BU15" s="4" t="s">
        <v>79</v>
      </c>
      <c r="BV15" s="7">
        <v>463</v>
      </c>
      <c r="BW15" s="7">
        <v>129</v>
      </c>
      <c r="BZ15" s="4" t="s">
        <v>26</v>
      </c>
      <c r="CA15" s="7" t="s">
        <v>3</v>
      </c>
      <c r="CB15" s="7" t="s">
        <v>55</v>
      </c>
      <c r="CC15" s="7">
        <v>7.5499999999999998E-2</v>
      </c>
      <c r="CD15" s="8">
        <v>2.2000000000000002</v>
      </c>
      <c r="CE15" s="7">
        <v>2.7000000000000001E-3</v>
      </c>
      <c r="CF15" s="7">
        <v>5.0000000000000002E-5</v>
      </c>
      <c r="CG15" s="8">
        <v>2.2829999999999999</v>
      </c>
      <c r="CH15" s="8" t="str">
        <f>Table613[[#This Row],[Fuel Type]]&amp;" ("&amp;MID(Table613[[#This Row],[Units]],4,2)&amp;")"</f>
        <v>Gasoline (L)</v>
      </c>
      <c r="CI15" s="7" t="str">
        <f>Table613[[#This Row],[Transport Mode]]&amp;Table613[[#This Row],[Fuel Type]]&amp;" ("&amp;MID(Table613[[#This Row],[Units]],4,2)&amp;")"</f>
        <v>Off-Road (Vehicle/Equipment)Gasoline (L)</v>
      </c>
      <c r="CJ15" s="6">
        <v>6.1667160000000001</v>
      </c>
      <c r="CX15" s="54"/>
      <c r="CY15" s="55"/>
      <c r="CZ15" s="61"/>
      <c r="DA15" s="63"/>
      <c r="DB15" s="62" t="s">
        <v>146</v>
      </c>
      <c r="DC15" s="49" t="s">
        <v>429</v>
      </c>
      <c r="DD15" s="50">
        <v>15</v>
      </c>
    </row>
    <row r="16" spans="1:108" x14ac:dyDescent="0.25">
      <c r="A16" s="14"/>
      <c r="B16" s="14"/>
      <c r="C16" s="14"/>
      <c r="D16" s="14"/>
      <c r="E16" s="15" t="s">
        <v>198</v>
      </c>
      <c r="F16" s="15" t="s">
        <v>199</v>
      </c>
      <c r="G16" s="15"/>
      <c r="H16" s="14" t="s">
        <v>200</v>
      </c>
      <c r="I16" s="14"/>
      <c r="J16" s="16" t="s">
        <v>201</v>
      </c>
      <c r="K16" s="16"/>
      <c r="L16" s="16"/>
      <c r="M16" s="14"/>
      <c r="N16" s="14"/>
      <c r="O16" s="14"/>
      <c r="P16" s="70"/>
      <c r="Q16" s="69" t="s">
        <v>852</v>
      </c>
      <c r="R16" s="70">
        <v>15</v>
      </c>
      <c r="S16" s="73"/>
      <c r="T16" s="73"/>
      <c r="U16" s="671" t="s">
        <v>842</v>
      </c>
      <c r="V16" s="672">
        <v>15</v>
      </c>
      <c r="W16" s="14"/>
      <c r="X16" s="14"/>
      <c r="Y16" s="14"/>
      <c r="Z16" s="14"/>
      <c r="AA16" s="14"/>
      <c r="AB16" s="19"/>
      <c r="AC16" s="19"/>
      <c r="AD16" s="19"/>
      <c r="AE16" s="19"/>
      <c r="AF16" s="19"/>
      <c r="AG16" s="19"/>
      <c r="AH16" s="19"/>
      <c r="AI16" s="19"/>
      <c r="AJ16" s="19"/>
      <c r="AK16" s="19"/>
      <c r="AL16" s="700" t="s">
        <v>881</v>
      </c>
      <c r="AP16" s="4" t="s">
        <v>279</v>
      </c>
      <c r="BA16" s="4" t="s">
        <v>77</v>
      </c>
      <c r="BB16" s="26"/>
      <c r="BD16" s="10">
        <v>3.567E-2</v>
      </c>
      <c r="BE16" s="10" t="s">
        <v>59</v>
      </c>
      <c r="BF16" s="4">
        <v>69.36</v>
      </c>
      <c r="BG16" s="5"/>
      <c r="BH16" s="9">
        <f>BH10</f>
        <v>3.5000000000000001E-3</v>
      </c>
      <c r="BI16" s="9">
        <f>BI10</f>
        <v>1.04E-2</v>
      </c>
      <c r="BJ16" s="5">
        <f>BJ10</f>
        <v>70.62</v>
      </c>
      <c r="BU16" s="4" t="s">
        <v>80</v>
      </c>
      <c r="BV16" s="7">
        <v>790</v>
      </c>
      <c r="BW16" s="7">
        <v>219</v>
      </c>
      <c r="BZ16" s="4" t="s">
        <v>26</v>
      </c>
      <c r="CA16" s="7" t="s">
        <v>0</v>
      </c>
      <c r="CB16" s="7" t="s">
        <v>55</v>
      </c>
      <c r="CC16" s="7">
        <v>9.9000000000000005E-2</v>
      </c>
      <c r="CD16" s="8">
        <v>2.5819999999999999</v>
      </c>
      <c r="CE16" s="7">
        <v>1.4999999999999999E-4</v>
      </c>
      <c r="CF16" s="7">
        <v>1.1000000000000001E-3</v>
      </c>
      <c r="CG16" s="8">
        <v>2.9140000000000001</v>
      </c>
      <c r="CH16" s="8" t="str">
        <f>Table613[[#This Row],[Fuel Type]]&amp;" ("&amp;MID(Table613[[#This Row],[Units]],4,2)&amp;")"</f>
        <v>Diesel (L)</v>
      </c>
      <c r="CI16" s="7" t="str">
        <f>Table613[[#This Row],[Transport Mode]]&amp;Table613[[#This Row],[Fuel Type]]&amp;" ("&amp;MID(Table613[[#This Row],[Units]],4,2)&amp;")"</f>
        <v>Off-Road (Vehicle/Equipment)Diesel (L)</v>
      </c>
      <c r="CJ16" s="6">
        <v>6.1667160000000001</v>
      </c>
      <c r="DA16" s="66"/>
      <c r="DB16" s="62" t="s">
        <v>146</v>
      </c>
      <c r="DC16" s="49" t="s">
        <v>318</v>
      </c>
      <c r="DD16" s="50">
        <v>18</v>
      </c>
    </row>
    <row r="17" spans="1:108" ht="17.25" x14ac:dyDescent="0.25">
      <c r="A17" s="14"/>
      <c r="B17" s="14"/>
      <c r="C17" s="14"/>
      <c r="D17" s="14"/>
      <c r="E17" s="15" t="s">
        <v>7</v>
      </c>
      <c r="F17" s="15" t="s">
        <v>203</v>
      </c>
      <c r="G17" s="15"/>
      <c r="H17" s="14" t="s">
        <v>204</v>
      </c>
      <c r="I17" s="14"/>
      <c r="J17" s="16" t="s">
        <v>205</v>
      </c>
      <c r="K17" s="16"/>
      <c r="L17" s="16"/>
      <c r="M17" s="14"/>
      <c r="N17" s="14"/>
      <c r="O17" s="14"/>
      <c r="P17" s="70"/>
      <c r="Q17" s="69" t="s">
        <v>853</v>
      </c>
      <c r="R17" s="70">
        <v>15</v>
      </c>
      <c r="S17" s="73"/>
      <c r="T17" s="73"/>
      <c r="U17" s="671" t="s">
        <v>843</v>
      </c>
      <c r="V17" s="672">
        <v>20</v>
      </c>
      <c r="W17" s="14"/>
      <c r="X17" s="14"/>
      <c r="Y17" s="14"/>
      <c r="Z17" s="14"/>
      <c r="AA17" s="14"/>
      <c r="AB17" s="19"/>
      <c r="AC17" s="19"/>
      <c r="AD17" s="19"/>
      <c r="AE17" s="19"/>
      <c r="AF17" s="19"/>
      <c r="AG17" s="19"/>
      <c r="AH17" s="19"/>
      <c r="AI17" s="19"/>
      <c r="AJ17" s="19"/>
      <c r="AK17" s="19"/>
      <c r="AL17" s="700" t="s">
        <v>882</v>
      </c>
      <c r="AP17" s="4" t="s">
        <v>278</v>
      </c>
      <c r="BA17" s="4" t="s">
        <v>18</v>
      </c>
      <c r="BB17" s="26"/>
      <c r="BD17" s="10">
        <v>3.8850000000000003E-2</v>
      </c>
      <c r="BE17" s="10" t="s">
        <v>56</v>
      </c>
      <c r="BF17" s="4">
        <v>49.58</v>
      </c>
      <c r="BG17" s="5"/>
      <c r="BH17" s="9">
        <v>1E-3</v>
      </c>
      <c r="BI17" s="9">
        <v>8.9999999999999998E-4</v>
      </c>
      <c r="BJ17" s="5">
        <v>0.28999999999999998</v>
      </c>
      <c r="BU17" s="4" t="s">
        <v>81</v>
      </c>
      <c r="BV17" s="7">
        <v>549</v>
      </c>
      <c r="BW17" s="7">
        <v>153</v>
      </c>
      <c r="BZ17" s="4" t="s">
        <v>26</v>
      </c>
      <c r="CA17" s="7" t="s">
        <v>2</v>
      </c>
      <c r="CB17" s="7" t="s">
        <v>64</v>
      </c>
      <c r="CC17" s="7"/>
      <c r="CD17" s="8">
        <v>2.738</v>
      </c>
      <c r="CE17" s="7">
        <v>1.2999999999999999E-2</v>
      </c>
      <c r="CF17" s="7">
        <v>8.6000000000000003E-5</v>
      </c>
      <c r="CG17" s="8">
        <v>3.089</v>
      </c>
      <c r="CH17" s="8" t="str">
        <f>Table613[[#This Row],[Fuel Type]]&amp;" ("&amp;MID(Table613[[#This Row],[Units]],4,2)&amp;")"</f>
        <v>Natural Gas (kg)</v>
      </c>
      <c r="CI17" s="7" t="str">
        <f>Table613[[#This Row],[Transport Mode]]&amp;Table613[[#This Row],[Fuel Type]]&amp;" ("&amp;MID(Table613[[#This Row],[Units]],4,2)&amp;")"</f>
        <v>Off-Road (Vehicle/Equipment)Natural Gas (kg)</v>
      </c>
      <c r="CJ17" s="6">
        <v>6.1667160000000001</v>
      </c>
      <c r="DA17" s="66"/>
      <c r="DB17" s="62" t="s">
        <v>146</v>
      </c>
      <c r="DC17" s="49" t="s">
        <v>319</v>
      </c>
      <c r="DD17" s="50">
        <v>15</v>
      </c>
    </row>
    <row r="18" spans="1:108" x14ac:dyDescent="0.25">
      <c r="A18" s="14"/>
      <c r="B18" s="14"/>
      <c r="C18" s="14"/>
      <c r="D18" s="14"/>
      <c r="E18" s="15" t="s">
        <v>138</v>
      </c>
      <c r="F18" s="15"/>
      <c r="G18" s="15"/>
      <c r="H18" s="14" t="s">
        <v>206</v>
      </c>
      <c r="I18" s="14"/>
      <c r="J18" s="16" t="s">
        <v>207</v>
      </c>
      <c r="K18" s="16"/>
      <c r="L18" s="16"/>
      <c r="M18" s="14"/>
      <c r="N18" s="14"/>
      <c r="O18" s="14"/>
      <c r="P18" s="70"/>
      <c r="Q18" s="70" t="s">
        <v>854</v>
      </c>
      <c r="R18" s="70">
        <v>15</v>
      </c>
      <c r="S18" s="73"/>
      <c r="T18" s="73"/>
      <c r="U18" s="671" t="s">
        <v>844</v>
      </c>
      <c r="V18" s="672">
        <v>15</v>
      </c>
      <c r="W18" s="14"/>
      <c r="X18" s="14"/>
      <c r="Y18" s="14"/>
      <c r="Z18" s="14"/>
      <c r="AA18" s="14"/>
      <c r="AB18" s="19"/>
      <c r="AC18" s="19"/>
      <c r="AD18" s="19"/>
      <c r="AE18" s="19"/>
      <c r="AF18" s="19"/>
      <c r="AG18" s="19"/>
      <c r="AH18" s="19"/>
      <c r="AI18" s="19"/>
      <c r="AJ18" s="19"/>
      <c r="AK18" s="19"/>
      <c r="AL18" s="700" t="s">
        <v>706</v>
      </c>
      <c r="AP18" s="4" t="s">
        <v>277</v>
      </c>
      <c r="BA18" s="690" t="s">
        <v>859</v>
      </c>
      <c r="BB18" s="27"/>
      <c r="BD18" s="10" t="s">
        <v>860</v>
      </c>
      <c r="BE18" s="692" t="s">
        <v>860</v>
      </c>
      <c r="BF18" s="4" t="s">
        <v>860</v>
      </c>
      <c r="BG18" s="692" t="s">
        <v>860</v>
      </c>
      <c r="BH18" s="9" t="s">
        <v>860</v>
      </c>
      <c r="BI18" s="9" t="s">
        <v>860</v>
      </c>
      <c r="BJ18" s="5" t="s">
        <v>860</v>
      </c>
      <c r="BU18" s="4" t="s">
        <v>82</v>
      </c>
      <c r="BV18" s="7">
        <v>732</v>
      </c>
      <c r="BW18" s="7">
        <v>203</v>
      </c>
      <c r="BZ18" s="4" t="s">
        <v>28</v>
      </c>
      <c r="CA18" s="7" t="s">
        <v>3</v>
      </c>
      <c r="CB18" s="7" t="s">
        <v>55</v>
      </c>
      <c r="CC18" s="7">
        <v>7.5499999999999998E-2</v>
      </c>
      <c r="CD18" s="8">
        <v>2.2000000000000002</v>
      </c>
      <c r="CE18" s="7">
        <v>1.2999999999999999E-3</v>
      </c>
      <c r="CF18" s="7">
        <v>6.6000000000000005E-5</v>
      </c>
      <c r="CG18" s="8">
        <v>2.2519999999999998</v>
      </c>
      <c r="CH18" s="8" t="str">
        <f>Table613[[#This Row],[Fuel Type]]&amp;" ("&amp;MID(Table613[[#This Row],[Units]],4,2)&amp;")"</f>
        <v>Gasoline (L)</v>
      </c>
      <c r="CI18" s="7" t="str">
        <f>Table613[[#This Row],[Transport Mode]]&amp;Table613[[#This Row],[Fuel Type]]&amp;" ("&amp;MID(Table613[[#This Row],[Units]],4,2)&amp;")"</f>
        <v>MarineGasoline (L)</v>
      </c>
      <c r="CJ18" s="6">
        <v>9.7222230000000014</v>
      </c>
      <c r="DA18" s="66"/>
      <c r="DB18" s="62" t="s">
        <v>146</v>
      </c>
      <c r="DC18" s="49" t="s">
        <v>321</v>
      </c>
      <c r="DD18" s="50">
        <v>15</v>
      </c>
    </row>
    <row r="19" spans="1:108" x14ac:dyDescent="0.25">
      <c r="A19" s="14"/>
      <c r="B19" s="14"/>
      <c r="C19" s="14"/>
      <c r="D19" s="14"/>
      <c r="E19" s="15" t="s">
        <v>114</v>
      </c>
      <c r="F19" s="15"/>
      <c r="G19" s="15"/>
      <c r="H19" s="14" t="s">
        <v>208</v>
      </c>
      <c r="I19" s="14"/>
      <c r="J19" s="16" t="s">
        <v>209</v>
      </c>
      <c r="K19" s="16"/>
      <c r="L19" s="16"/>
      <c r="M19" s="14"/>
      <c r="N19" s="19"/>
      <c r="O19" s="14"/>
      <c r="P19" s="70"/>
      <c r="Q19" s="70" t="s">
        <v>855</v>
      </c>
      <c r="R19" s="70">
        <v>15</v>
      </c>
      <c r="S19" s="73"/>
      <c r="T19" s="73"/>
      <c r="U19" s="671" t="s">
        <v>845</v>
      </c>
      <c r="V19" s="672">
        <v>15</v>
      </c>
      <c r="W19" s="14"/>
      <c r="X19" s="14"/>
      <c r="Y19" s="14"/>
      <c r="Z19" s="14"/>
      <c r="AA19" s="14"/>
      <c r="AB19" s="19"/>
      <c r="AC19" s="19"/>
      <c r="AD19" s="19"/>
      <c r="AE19" s="19"/>
      <c r="AF19" s="19"/>
      <c r="AG19" s="19"/>
      <c r="AH19" s="19"/>
      <c r="AI19" s="19"/>
      <c r="AJ19" s="19"/>
      <c r="AK19" s="19"/>
      <c r="AL19" s="700" t="s">
        <v>883</v>
      </c>
      <c r="AP19" s="4" t="s">
        <v>276</v>
      </c>
      <c r="BA19" s="691"/>
      <c r="BB19" s="27"/>
      <c r="BD19" s="10"/>
      <c r="BE19" s="10"/>
      <c r="BG19" s="5"/>
      <c r="BH19" s="9"/>
      <c r="BI19" s="9"/>
      <c r="BJ19" s="5"/>
      <c r="BU19" s="4" t="s">
        <v>83</v>
      </c>
      <c r="BV19" s="7">
        <v>778</v>
      </c>
      <c r="BW19" s="7">
        <v>216</v>
      </c>
      <c r="BZ19" s="4" t="s">
        <v>28</v>
      </c>
      <c r="CA19" s="7" t="s">
        <v>0</v>
      </c>
      <c r="CB19" s="7" t="s">
        <v>55</v>
      </c>
      <c r="CC19" s="7">
        <v>9.9000000000000005E-2</v>
      </c>
      <c r="CD19" s="8">
        <v>2.5819999999999999</v>
      </c>
      <c r="CE19" s="7">
        <v>1.4999999999999999E-4</v>
      </c>
      <c r="CF19" s="7">
        <v>1.1000000000000001E-3</v>
      </c>
      <c r="CG19" s="8">
        <v>2.9140000000000001</v>
      </c>
      <c r="CH19" s="8" t="str">
        <f>Table613[[#This Row],[Fuel Type]]&amp;" ("&amp;MID(Table613[[#This Row],[Units]],4,2)&amp;")"</f>
        <v>Diesel (L)</v>
      </c>
      <c r="CI19" s="7" t="str">
        <f>Table613[[#This Row],[Transport Mode]]&amp;Table613[[#This Row],[Fuel Type]]&amp;" ("&amp;MID(Table613[[#This Row],[Units]],4,2)&amp;")"</f>
        <v>MarineDiesel (L)</v>
      </c>
      <c r="CJ19" s="6">
        <v>10.638889740000002</v>
      </c>
      <c r="DA19" s="66"/>
      <c r="DB19" s="62" t="s">
        <v>146</v>
      </c>
      <c r="DC19" s="49" t="s">
        <v>323</v>
      </c>
      <c r="DD19" s="50">
        <v>15</v>
      </c>
    </row>
    <row r="20" spans="1:108" x14ac:dyDescent="0.25">
      <c r="A20" s="14"/>
      <c r="B20" s="14"/>
      <c r="C20" s="14"/>
      <c r="D20" s="14"/>
      <c r="E20" s="15" t="s">
        <v>194</v>
      </c>
      <c r="F20" s="15"/>
      <c r="G20" s="15"/>
      <c r="H20" s="14" t="s">
        <v>7</v>
      </c>
      <c r="I20" s="14"/>
      <c r="J20" s="16" t="s">
        <v>136</v>
      </c>
      <c r="K20" s="16"/>
      <c r="L20" s="16"/>
      <c r="M20" s="14"/>
      <c r="N20" s="14"/>
      <c r="O20" s="14"/>
      <c r="P20" s="70"/>
      <c r="Q20" s="70" t="s">
        <v>856</v>
      </c>
      <c r="R20" s="70">
        <v>22</v>
      </c>
      <c r="S20" s="73"/>
      <c r="T20" s="73"/>
      <c r="U20" s="671" t="s">
        <v>846</v>
      </c>
      <c r="V20" s="672">
        <v>15</v>
      </c>
      <c r="W20" s="21"/>
      <c r="X20" s="14"/>
      <c r="Y20" s="14"/>
      <c r="Z20" s="14"/>
      <c r="AA20" s="14"/>
      <c r="AB20" s="19"/>
      <c r="AC20" s="19"/>
      <c r="AD20" s="19"/>
      <c r="AE20" s="19"/>
      <c r="AF20" s="19"/>
      <c r="AG20" s="19"/>
      <c r="AH20" s="19"/>
      <c r="AI20" s="19"/>
      <c r="AJ20" s="19"/>
      <c r="AK20" s="19"/>
      <c r="AL20" s="700" t="s">
        <v>884</v>
      </c>
      <c r="AP20" s="4" t="s">
        <v>275</v>
      </c>
      <c r="BZ20" s="4" t="s">
        <v>29</v>
      </c>
      <c r="CA20" s="7" t="s">
        <v>3</v>
      </c>
      <c r="CB20" s="7" t="s">
        <v>55</v>
      </c>
      <c r="CC20" s="7"/>
      <c r="CD20" s="8">
        <v>2.3650000000000002</v>
      </c>
      <c r="CE20" s="7">
        <v>2.2000000000000001E-3</v>
      </c>
      <c r="CF20" s="7">
        <v>2.3000000000000001E-4</v>
      </c>
      <c r="CG20" s="8">
        <v>2.4889999999999999</v>
      </c>
      <c r="CH20" s="8" t="str">
        <f>Table613[[#This Row],[Fuel Type]]&amp;" ("&amp;MID(Table613[[#This Row],[Units]],4,2)&amp;")"</f>
        <v>Gasoline (L)</v>
      </c>
      <c r="CI20" s="7" t="str">
        <f>Table613[[#This Row],[Transport Mode]]&amp;Table613[[#This Row],[Fuel Type]]&amp;" ("&amp;MID(Table613[[#This Row],[Units]],4,2)&amp;")"</f>
        <v>AviationGasoline (L)</v>
      </c>
      <c r="CJ20" s="6">
        <v>9.7222230000000014</v>
      </c>
      <c r="DA20" s="66"/>
      <c r="DB20" s="58" t="s">
        <v>119</v>
      </c>
      <c r="DC20" s="49" t="s">
        <v>316</v>
      </c>
      <c r="DD20" s="50">
        <v>22</v>
      </c>
    </row>
    <row r="21" spans="1:108" x14ac:dyDescent="0.25">
      <c r="A21" s="14"/>
      <c r="B21" s="14"/>
      <c r="C21" s="14"/>
      <c r="D21" s="14"/>
      <c r="E21" s="15"/>
      <c r="F21" s="15"/>
      <c r="G21" s="15"/>
      <c r="H21" s="14"/>
      <c r="I21" s="14"/>
      <c r="J21" s="16" t="s">
        <v>210</v>
      </c>
      <c r="K21" s="16"/>
      <c r="L21" s="16"/>
      <c r="M21" s="14"/>
      <c r="N21" s="14"/>
      <c r="O21" s="14"/>
      <c r="P21" s="70"/>
      <c r="Q21" s="70" t="s">
        <v>857</v>
      </c>
      <c r="R21" s="70">
        <v>15</v>
      </c>
      <c r="S21" s="73"/>
      <c r="T21" s="73"/>
      <c r="U21" s="671" t="s">
        <v>847</v>
      </c>
      <c r="V21" s="672">
        <v>22</v>
      </c>
      <c r="W21" s="22"/>
      <c r="X21" s="14"/>
      <c r="Y21" s="17"/>
      <c r="Z21" s="14"/>
      <c r="AA21" s="14"/>
      <c r="AB21" s="19"/>
      <c r="AC21" s="19"/>
      <c r="AD21" s="19"/>
      <c r="AE21" s="19"/>
      <c r="AF21" s="19"/>
      <c r="AG21" s="19"/>
      <c r="AH21" s="19"/>
      <c r="AI21" s="19"/>
      <c r="AJ21" s="19"/>
      <c r="AK21" s="19"/>
      <c r="AL21" s="700" t="s">
        <v>707</v>
      </c>
      <c r="AP21" s="4" t="s">
        <v>274</v>
      </c>
      <c r="BZ21" s="4" t="s">
        <v>29</v>
      </c>
      <c r="CA21" s="7" t="s">
        <v>84</v>
      </c>
      <c r="CB21" s="7" t="s">
        <v>55</v>
      </c>
      <c r="CC21" s="7"/>
      <c r="CD21" s="8">
        <v>2.56</v>
      </c>
      <c r="CE21" s="7">
        <v>2.9E-5</v>
      </c>
      <c r="CF21" s="7">
        <v>7.1000000000000005E-5</v>
      </c>
      <c r="CG21" s="8">
        <v>2.5819999999999999</v>
      </c>
      <c r="CH21" s="8" t="str">
        <f>Table613[[#This Row],[Fuel Type]]&amp;" ("&amp;MID(Table613[[#This Row],[Units]],4,2)&amp;")"</f>
        <v>Turbo Fuel (L)</v>
      </c>
      <c r="CI21" s="7" t="str">
        <f>Table613[[#This Row],[Transport Mode]]&amp;Table613[[#This Row],[Fuel Type]]&amp;" ("&amp;MID(Table613[[#This Row],[Units]],4,2)&amp;")"</f>
        <v>AviationTurbo Fuel (L)</v>
      </c>
      <c r="CJ21" s="6">
        <v>9.4445200000000007</v>
      </c>
      <c r="DA21" s="66"/>
      <c r="DB21" s="58" t="s">
        <v>119</v>
      </c>
      <c r="DC21" s="49" t="s">
        <v>429</v>
      </c>
      <c r="DD21" s="50">
        <v>15</v>
      </c>
    </row>
    <row r="22" spans="1:108" x14ac:dyDescent="0.25">
      <c r="A22" s="14"/>
      <c r="B22" s="14"/>
      <c r="C22" s="14"/>
      <c r="D22" s="14"/>
      <c r="E22" s="15"/>
      <c r="F22" s="15"/>
      <c r="G22" s="15"/>
      <c r="H22" s="14"/>
      <c r="I22" s="14"/>
      <c r="J22" s="16" t="s">
        <v>211</v>
      </c>
      <c r="K22" s="16"/>
      <c r="L22" s="16"/>
      <c r="M22" s="14"/>
      <c r="N22" s="14"/>
      <c r="O22" s="14"/>
      <c r="P22" s="70"/>
      <c r="Q22" s="69" t="s">
        <v>858</v>
      </c>
      <c r="R22" s="70">
        <v>18</v>
      </c>
      <c r="S22" s="73"/>
      <c r="T22" s="73"/>
      <c r="U22" s="671" t="s">
        <v>848</v>
      </c>
      <c r="V22" s="672">
        <v>15</v>
      </c>
      <c r="W22" s="22"/>
      <c r="X22" s="14"/>
      <c r="Y22" s="14"/>
      <c r="Z22" s="14"/>
      <c r="AA22" s="14"/>
      <c r="AB22" s="19"/>
      <c r="AC22" s="19"/>
      <c r="AD22" s="19"/>
      <c r="AE22" s="19"/>
      <c r="AF22" s="19"/>
      <c r="AG22" s="19"/>
      <c r="AH22" s="19"/>
      <c r="AI22" s="19"/>
      <c r="AJ22" s="19"/>
      <c r="AK22" s="19"/>
      <c r="AL22" s="700" t="s">
        <v>708</v>
      </c>
      <c r="AP22" s="4" t="s">
        <v>273</v>
      </c>
      <c r="BU22" s="702" t="s">
        <v>54</v>
      </c>
      <c r="BZ22" s="4" t="s">
        <v>31</v>
      </c>
      <c r="CA22" s="7" t="s">
        <v>85</v>
      </c>
      <c r="CB22" s="7" t="s">
        <v>55</v>
      </c>
      <c r="CC22" s="7">
        <v>2.4740000000000002</v>
      </c>
      <c r="CD22" s="8">
        <v>2.5819999999999999</v>
      </c>
      <c r="CE22" s="7">
        <v>6.7999999999999999E-5</v>
      </c>
      <c r="CF22" s="7">
        <v>6.6000000000000005E-5</v>
      </c>
      <c r="CG22" s="8">
        <v>2.9140000000000001</v>
      </c>
      <c r="CH22" s="8" t="str">
        <f>Table613[[#This Row],[Fuel Type]]&amp;" ("&amp;MID(Table613[[#This Row],[Units]],4,2)&amp;")"</f>
        <v>Biodiesel (L)</v>
      </c>
      <c r="CI22" s="7" t="str">
        <f>Table613[[#This Row],[Transport Mode]]&amp;Table613[[#This Row],[Fuel Type]]&amp;" ("&amp;MID(Table613[[#This Row],[Units]],4,2)&amp;")"</f>
        <v>VariousBiodiesel (L)</v>
      </c>
      <c r="CJ22" s="6">
        <v>9.9083341259999997</v>
      </c>
      <c r="DA22" s="66"/>
      <c r="DB22" s="58" t="s">
        <v>119</v>
      </c>
      <c r="DC22" s="49" t="s">
        <v>318</v>
      </c>
      <c r="DD22" s="50">
        <v>18</v>
      </c>
    </row>
    <row r="23" spans="1:108" x14ac:dyDescent="0.25">
      <c r="A23" s="14"/>
      <c r="B23" s="14"/>
      <c r="C23" s="14"/>
      <c r="D23" s="14"/>
      <c r="E23" s="14"/>
      <c r="F23" s="14"/>
      <c r="G23" s="14"/>
      <c r="H23" s="14"/>
      <c r="I23" s="14"/>
      <c r="J23" s="16" t="s">
        <v>212</v>
      </c>
      <c r="K23" s="16"/>
      <c r="L23" s="16"/>
      <c r="M23" s="14"/>
      <c r="N23" s="14"/>
      <c r="O23" s="14"/>
      <c r="P23" s="20"/>
      <c r="Q23" s="20"/>
      <c r="R23" s="20"/>
      <c r="S23" s="20"/>
      <c r="T23" s="20"/>
      <c r="U23" s="673" t="s">
        <v>849</v>
      </c>
      <c r="V23" s="674">
        <v>15</v>
      </c>
      <c r="W23" s="22"/>
      <c r="X23" s="14"/>
      <c r="Y23" s="14"/>
      <c r="Z23" s="14"/>
      <c r="AA23" s="14"/>
      <c r="AB23" s="19"/>
      <c r="AC23" s="19"/>
      <c r="AD23" s="19"/>
      <c r="AE23" s="19"/>
      <c r="AF23" s="19"/>
      <c r="AG23" s="19"/>
      <c r="AH23" s="19"/>
      <c r="AI23" s="19"/>
      <c r="AJ23" s="19"/>
      <c r="AK23" s="19"/>
      <c r="AL23" s="700" t="s">
        <v>885</v>
      </c>
      <c r="AP23" s="4" t="s">
        <v>272</v>
      </c>
      <c r="BU23" s="717" t="s">
        <v>899</v>
      </c>
      <c r="BV23" s="718">
        <v>9.6999999999999993</v>
      </c>
      <c r="BW23" s="719" t="s">
        <v>908</v>
      </c>
      <c r="BX23" s="719"/>
      <c r="BY23" s="719"/>
      <c r="BZ23" s="4" t="s">
        <v>31</v>
      </c>
      <c r="CA23" s="7" t="s">
        <v>86</v>
      </c>
      <c r="CB23" s="7" t="s">
        <v>55</v>
      </c>
      <c r="CC23" s="7">
        <v>1.5089999999999999</v>
      </c>
      <c r="CD23" s="8">
        <v>2.3650000000000002</v>
      </c>
      <c r="CE23" s="7">
        <v>2.2000000000000001E-3</v>
      </c>
      <c r="CF23" s="7">
        <v>2.3000000000000001E-4</v>
      </c>
      <c r="CG23" s="8">
        <v>2.4889999999999999</v>
      </c>
      <c r="CH23" s="8" t="str">
        <f>Table613[[#This Row],[Fuel Type]]&amp;" ("&amp;MID(Table613[[#This Row],[Units]],4,2)&amp;")"</f>
        <v>Ethanol (L)</v>
      </c>
      <c r="CI23" s="7" t="str">
        <f>Table613[[#This Row],[Transport Mode]]&amp;Table613[[#This Row],[Fuel Type]]&amp;" ("&amp;MID(Table613[[#This Row],[Units]],4,2)&amp;")"</f>
        <v>VariousEthanol (L)</v>
      </c>
      <c r="CJ23" s="6">
        <v>6.5055560760000004</v>
      </c>
      <c r="DA23" s="66"/>
      <c r="DB23" s="58" t="s">
        <v>119</v>
      </c>
      <c r="DC23" s="49" t="s">
        <v>319</v>
      </c>
      <c r="DD23" s="50">
        <v>15</v>
      </c>
    </row>
    <row r="24" spans="1:108" x14ac:dyDescent="0.25">
      <c r="A24" s="14"/>
      <c r="B24" s="14"/>
      <c r="C24" s="14"/>
      <c r="D24" s="14"/>
      <c r="E24" s="14"/>
      <c r="F24" s="14"/>
      <c r="G24" s="14"/>
      <c r="H24" s="14"/>
      <c r="I24" s="14"/>
      <c r="J24" s="16" t="s">
        <v>7</v>
      </c>
      <c r="K24" s="16"/>
      <c r="L24" s="16"/>
      <c r="M24" s="14"/>
      <c r="N24" s="14"/>
      <c r="O24" s="14"/>
      <c r="P24" s="20"/>
      <c r="Q24" s="20"/>
      <c r="R24" s="20"/>
      <c r="S24" s="20"/>
      <c r="T24" s="20"/>
      <c r="U24" s="673" t="s">
        <v>850</v>
      </c>
      <c r="V24" s="674">
        <v>15</v>
      </c>
      <c r="W24" s="22"/>
      <c r="X24" s="14"/>
      <c r="Y24" s="14"/>
      <c r="Z24" s="14"/>
      <c r="AA24" s="14"/>
      <c r="AB24" s="19"/>
      <c r="AC24" s="19"/>
      <c r="AD24" s="19"/>
      <c r="AE24" s="19"/>
      <c r="AF24" s="19"/>
      <c r="AG24" s="19"/>
      <c r="AH24" s="19"/>
      <c r="AI24" s="19"/>
      <c r="AJ24" s="19"/>
      <c r="AK24" s="19"/>
      <c r="AL24" s="700" t="s">
        <v>886</v>
      </c>
      <c r="AP24" s="4" t="s">
        <v>271</v>
      </c>
      <c r="BU24" s="702" t="s">
        <v>897</v>
      </c>
      <c r="BV24" s="703">
        <v>40.1</v>
      </c>
      <c r="DB24" s="58" t="s">
        <v>119</v>
      </c>
      <c r="DC24" s="49" t="s">
        <v>321</v>
      </c>
      <c r="DD24" s="50">
        <v>15</v>
      </c>
    </row>
    <row r="25" spans="1:108" x14ac:dyDescent="0.25">
      <c r="A25" s="14"/>
      <c r="B25" s="14"/>
      <c r="C25" s="14"/>
      <c r="D25" s="14"/>
      <c r="E25" s="14"/>
      <c r="F25" s="14"/>
      <c r="G25" s="14"/>
      <c r="H25" s="14"/>
      <c r="I25" s="14"/>
      <c r="J25" s="16"/>
      <c r="K25" s="16"/>
      <c r="L25" s="16"/>
      <c r="M25" s="14"/>
      <c r="N25" s="14"/>
      <c r="O25" s="14"/>
      <c r="P25" s="20"/>
      <c r="Q25" s="20"/>
      <c r="R25" s="20"/>
      <c r="S25" s="20"/>
      <c r="T25" s="20"/>
      <c r="U25" s="673" t="s">
        <v>851</v>
      </c>
      <c r="V25" s="674">
        <v>15</v>
      </c>
      <c r="W25" s="22"/>
      <c r="X25" s="14"/>
      <c r="Y25" s="14"/>
      <c r="Z25" s="14"/>
      <c r="AA25" s="14"/>
      <c r="AB25" s="19"/>
      <c r="AC25" s="19"/>
      <c r="AD25" s="19"/>
      <c r="AE25" s="19"/>
      <c r="AF25" s="19"/>
      <c r="AG25" s="19"/>
      <c r="AH25" s="19"/>
      <c r="AI25" s="19"/>
      <c r="AJ25" s="19"/>
      <c r="AK25" s="19"/>
      <c r="AL25" s="700" t="s">
        <v>709</v>
      </c>
      <c r="AP25" s="4" t="s">
        <v>270</v>
      </c>
      <c r="DB25" s="58" t="s">
        <v>119</v>
      </c>
      <c r="DC25" s="49" t="s">
        <v>323</v>
      </c>
      <c r="DD25" s="50">
        <v>15</v>
      </c>
    </row>
    <row r="26" spans="1:108" x14ac:dyDescent="0.25">
      <c r="A26" s="14"/>
      <c r="B26" s="14"/>
      <c r="C26" s="14"/>
      <c r="D26" s="14"/>
      <c r="E26" s="14"/>
      <c r="F26" s="14"/>
      <c r="G26" s="14"/>
      <c r="H26" s="14"/>
      <c r="I26" s="14"/>
      <c r="J26" s="16"/>
      <c r="K26" s="16"/>
      <c r="L26" s="16"/>
      <c r="M26" s="14"/>
      <c r="N26" s="14"/>
      <c r="O26" s="14"/>
      <c r="P26" s="20"/>
      <c r="Q26" s="20"/>
      <c r="R26" s="20"/>
      <c r="S26" s="20"/>
      <c r="T26" s="20"/>
      <c r="U26" s="673" t="s">
        <v>852</v>
      </c>
      <c r="V26" s="674">
        <v>15</v>
      </c>
      <c r="W26" s="22"/>
      <c r="X26" s="14"/>
      <c r="Y26" s="14"/>
      <c r="Z26" s="14"/>
      <c r="AA26" s="14"/>
      <c r="AB26" s="19"/>
      <c r="AC26" s="19"/>
      <c r="AD26" s="19"/>
      <c r="AE26" s="19"/>
      <c r="AF26" s="19"/>
      <c r="AG26" s="19"/>
      <c r="AH26" s="19"/>
      <c r="AI26" s="19"/>
      <c r="AJ26" s="19"/>
      <c r="AK26" s="19"/>
      <c r="AL26" s="700" t="s">
        <v>887</v>
      </c>
      <c r="AP26" s="4" t="s">
        <v>269</v>
      </c>
      <c r="DB26" s="62" t="s">
        <v>146</v>
      </c>
      <c r="DC26" s="67" t="s">
        <v>468</v>
      </c>
      <c r="DD26" s="68"/>
    </row>
    <row r="27" spans="1:108" x14ac:dyDescent="0.25">
      <c r="A27" s="14"/>
      <c r="B27" s="14"/>
      <c r="C27" s="14"/>
      <c r="D27" s="14"/>
      <c r="E27" s="14"/>
      <c r="F27" s="14"/>
      <c r="G27" s="14"/>
      <c r="H27" s="14"/>
      <c r="I27" s="14"/>
      <c r="J27" s="16"/>
      <c r="K27" s="16"/>
      <c r="L27" s="16"/>
      <c r="M27" s="14"/>
      <c r="N27" s="14"/>
      <c r="O27" s="14"/>
      <c r="P27" s="20"/>
      <c r="Q27" s="20"/>
      <c r="R27" s="20"/>
      <c r="S27" s="20"/>
      <c r="T27" s="20"/>
      <c r="U27" s="673" t="s">
        <v>853</v>
      </c>
      <c r="V27" s="674">
        <v>15</v>
      </c>
      <c r="W27" s="22"/>
      <c r="X27" s="14"/>
      <c r="Y27" s="14"/>
      <c r="Z27" s="14"/>
      <c r="AA27" s="14"/>
      <c r="AB27" s="19"/>
      <c r="AC27" s="19"/>
      <c r="AD27" s="19"/>
      <c r="AE27" s="19"/>
      <c r="AF27" s="19"/>
      <c r="AG27" s="19"/>
      <c r="AH27" s="19"/>
      <c r="AI27" s="19"/>
      <c r="AJ27" s="19"/>
      <c r="AK27" s="19"/>
      <c r="AL27" s="700" t="s">
        <v>888</v>
      </c>
      <c r="AP27" s="4" t="s">
        <v>268</v>
      </c>
    </row>
    <row r="28" spans="1:108" x14ac:dyDescent="0.25">
      <c r="A28" s="14"/>
      <c r="B28" s="14"/>
      <c r="C28" s="14"/>
      <c r="D28" s="14"/>
      <c r="E28" s="14"/>
      <c r="F28" s="14"/>
      <c r="G28" s="14"/>
      <c r="H28" s="14"/>
      <c r="I28" s="14"/>
      <c r="J28" s="16"/>
      <c r="K28" s="16"/>
      <c r="L28" s="16"/>
      <c r="M28" s="14"/>
      <c r="N28" s="14"/>
      <c r="O28" s="14"/>
      <c r="P28" s="20"/>
      <c r="Q28" s="111"/>
      <c r="R28" s="20"/>
      <c r="S28" s="20"/>
      <c r="T28" s="20"/>
      <c r="U28" s="673" t="s">
        <v>854</v>
      </c>
      <c r="V28" s="674">
        <v>15</v>
      </c>
      <c r="W28" s="22"/>
      <c r="X28" s="14"/>
      <c r="Y28" s="14"/>
      <c r="Z28" s="14"/>
      <c r="AA28" s="14"/>
      <c r="AB28" s="19"/>
      <c r="AC28" s="19"/>
      <c r="AD28" s="19"/>
      <c r="AE28" s="19"/>
      <c r="AF28" s="19"/>
      <c r="AG28" s="19"/>
      <c r="AH28" s="19"/>
      <c r="AI28" s="19"/>
      <c r="AJ28" s="19"/>
      <c r="AK28" s="19"/>
      <c r="AL28" s="700" t="s">
        <v>889</v>
      </c>
      <c r="AP28" s="4" t="s">
        <v>267</v>
      </c>
    </row>
    <row r="29" spans="1:108" x14ac:dyDescent="0.25">
      <c r="A29" s="14"/>
      <c r="B29" s="14"/>
      <c r="C29" s="14"/>
      <c r="D29" s="14"/>
      <c r="E29" s="14"/>
      <c r="F29" s="14"/>
      <c r="G29" s="14"/>
      <c r="H29" s="14"/>
      <c r="I29" s="14"/>
      <c r="J29" s="16"/>
      <c r="K29" s="16"/>
      <c r="L29" s="16"/>
      <c r="M29" s="14"/>
      <c r="N29" s="14"/>
      <c r="O29" s="14"/>
      <c r="P29" s="20"/>
      <c r="Q29" s="661"/>
      <c r="R29" s="661"/>
      <c r="S29" s="20"/>
      <c r="T29" s="20"/>
      <c r="U29" s="673" t="s">
        <v>855</v>
      </c>
      <c r="V29" s="674">
        <v>15</v>
      </c>
      <c r="W29" s="22"/>
      <c r="X29" s="14"/>
      <c r="Y29" s="14"/>
      <c r="Z29" s="14"/>
      <c r="AA29" s="14"/>
      <c r="AB29" s="19"/>
      <c r="AC29" s="19"/>
      <c r="AD29" s="19"/>
      <c r="AE29" s="19"/>
      <c r="AF29" s="19"/>
      <c r="AG29" s="19"/>
      <c r="AH29" s="19"/>
      <c r="AI29" s="19"/>
      <c r="AJ29" s="19"/>
      <c r="AK29" s="19"/>
      <c r="AL29" s="700" t="s">
        <v>710</v>
      </c>
      <c r="AP29" s="4" t="s">
        <v>266</v>
      </c>
    </row>
    <row r="30" spans="1:108" x14ac:dyDescent="0.25">
      <c r="A30" s="14"/>
      <c r="B30" s="14"/>
      <c r="C30" s="14"/>
      <c r="D30" s="14"/>
      <c r="E30" s="14"/>
      <c r="F30" s="14"/>
      <c r="G30" s="14"/>
      <c r="H30" s="14"/>
      <c r="I30" s="14"/>
      <c r="J30" s="16"/>
      <c r="K30" s="16"/>
      <c r="L30" s="16"/>
      <c r="M30" s="14"/>
      <c r="N30" s="14"/>
      <c r="O30" s="14"/>
      <c r="P30" s="20"/>
      <c r="Q30" s="673" t="s">
        <v>912</v>
      </c>
      <c r="R30" s="674">
        <v>15</v>
      </c>
      <c r="S30" s="20"/>
      <c r="T30" s="20"/>
      <c r="U30" s="673" t="s">
        <v>856</v>
      </c>
      <c r="V30" s="674">
        <v>22</v>
      </c>
      <c r="W30" s="22"/>
      <c r="X30" s="14"/>
      <c r="Y30" s="14"/>
      <c r="Z30" s="14"/>
      <c r="AA30" s="14"/>
      <c r="AB30" s="19"/>
      <c r="AC30" s="19"/>
      <c r="AD30" s="19"/>
      <c r="AE30" s="19"/>
      <c r="AF30" s="19"/>
      <c r="AG30" s="19"/>
      <c r="AH30" s="19"/>
      <c r="AI30" s="19"/>
      <c r="AJ30" s="19"/>
      <c r="AK30" s="19"/>
      <c r="AL30" s="700" t="s">
        <v>890</v>
      </c>
      <c r="AP30" s="4" t="s">
        <v>265</v>
      </c>
      <c r="BT30" s="706"/>
      <c r="BU30" s="704" t="s">
        <v>898</v>
      </c>
      <c r="BV30" s="705" t="str">
        <f>'1.0 Pre-Screen'!E1</f>
        <v>No</v>
      </c>
      <c r="BW30" s="130"/>
    </row>
    <row r="31" spans="1:108" x14ac:dyDescent="0.25">
      <c r="A31" s="14"/>
      <c r="B31" s="14"/>
      <c r="C31" s="14"/>
      <c r="D31" s="14"/>
      <c r="E31" s="14"/>
      <c r="F31" s="14"/>
      <c r="G31" s="14"/>
      <c r="H31" s="14"/>
      <c r="I31" s="14"/>
      <c r="J31" s="16"/>
      <c r="K31" s="16"/>
      <c r="L31" s="16"/>
      <c r="M31" s="14"/>
      <c r="N31" s="14"/>
      <c r="O31" s="14"/>
      <c r="P31" s="20"/>
      <c r="Q31" s="673" t="s">
        <v>913</v>
      </c>
      <c r="R31" s="674">
        <v>20</v>
      </c>
      <c r="S31" s="20"/>
      <c r="T31" s="20"/>
      <c r="U31" s="673" t="s">
        <v>857</v>
      </c>
      <c r="V31" s="674">
        <v>15</v>
      </c>
      <c r="W31" s="22"/>
      <c r="X31" s="14"/>
      <c r="Y31" s="14"/>
      <c r="Z31" s="14"/>
      <c r="AA31" s="14"/>
      <c r="AB31" s="19"/>
      <c r="AC31" s="19"/>
      <c r="AD31" s="19"/>
      <c r="AE31" s="19"/>
      <c r="AF31" s="19"/>
      <c r="AG31" s="19"/>
      <c r="AH31" s="19"/>
      <c r="AI31" s="19"/>
      <c r="AJ31" s="19"/>
      <c r="AK31" s="19"/>
      <c r="AL31" s="700" t="s">
        <v>711</v>
      </c>
      <c r="AP31" s="4" t="s">
        <v>264</v>
      </c>
    </row>
    <row r="32" spans="1:108" x14ac:dyDescent="0.25">
      <c r="A32" s="14"/>
      <c r="B32" s="14"/>
      <c r="C32" s="14"/>
      <c r="D32" s="14"/>
      <c r="E32" s="14"/>
      <c r="F32" s="14"/>
      <c r="G32" s="14"/>
      <c r="H32" s="14"/>
      <c r="I32" s="14"/>
      <c r="J32" s="16"/>
      <c r="K32" s="16"/>
      <c r="L32" s="16"/>
      <c r="M32" s="14"/>
      <c r="N32" s="14"/>
      <c r="O32" s="14"/>
      <c r="P32" s="20"/>
      <c r="Q32" s="673" t="s">
        <v>914</v>
      </c>
      <c r="R32" s="674">
        <v>22</v>
      </c>
      <c r="S32" s="20"/>
      <c r="T32" s="20"/>
      <c r="U32" s="673" t="s">
        <v>858</v>
      </c>
      <c r="V32" s="674">
        <v>18</v>
      </c>
      <c r="W32" s="22"/>
      <c r="X32" s="14"/>
      <c r="Y32" s="14"/>
      <c r="Z32" s="14"/>
      <c r="AA32" s="14"/>
      <c r="AB32" s="19"/>
      <c r="AC32" s="19"/>
      <c r="AD32" s="19"/>
      <c r="AE32" s="19"/>
      <c r="AF32" s="19"/>
      <c r="AG32" s="19"/>
      <c r="AH32" s="19"/>
      <c r="AI32" s="19"/>
      <c r="AJ32" s="19"/>
      <c r="AK32" s="19"/>
      <c r="AL32" s="700" t="s">
        <v>896</v>
      </c>
      <c r="AP32" s="4" t="s">
        <v>263</v>
      </c>
      <c r="CE32" s="5"/>
    </row>
    <row r="33" spans="1:83" x14ac:dyDescent="0.25">
      <c r="A33" s="14"/>
      <c r="B33" s="14"/>
      <c r="C33" s="14"/>
      <c r="D33" s="14"/>
      <c r="E33" s="14"/>
      <c r="F33" s="14"/>
      <c r="G33" s="14"/>
      <c r="H33" s="14"/>
      <c r="I33" s="14"/>
      <c r="J33" s="16"/>
      <c r="K33" s="16"/>
      <c r="L33" s="16"/>
      <c r="M33" s="14"/>
      <c r="N33" s="20"/>
      <c r="O33" s="20"/>
      <c r="P33" s="20"/>
      <c r="Q33" s="673" t="s">
        <v>915</v>
      </c>
      <c r="R33" s="674">
        <v>15</v>
      </c>
      <c r="S33" s="20"/>
      <c r="T33" s="20"/>
      <c r="U33" s="673" t="s">
        <v>912</v>
      </c>
      <c r="V33" s="674">
        <v>15</v>
      </c>
      <c r="W33" s="14"/>
      <c r="X33" s="14"/>
      <c r="Y33" s="14"/>
      <c r="Z33" s="14"/>
      <c r="AA33" s="14"/>
      <c r="AB33" s="19"/>
      <c r="AC33" s="19"/>
      <c r="AD33" s="19"/>
      <c r="AE33" s="19"/>
      <c r="AF33" s="19"/>
      <c r="AG33" s="19"/>
      <c r="AH33" s="19"/>
      <c r="AI33" s="19"/>
      <c r="AJ33" s="19"/>
      <c r="AK33" s="19"/>
      <c r="AL33" s="700" t="s">
        <v>712</v>
      </c>
      <c r="AP33" s="4" t="s">
        <v>262</v>
      </c>
      <c r="CE33" s="5"/>
    </row>
    <row r="34" spans="1:83" x14ac:dyDescent="0.25">
      <c r="A34" s="14"/>
      <c r="B34" s="14"/>
      <c r="C34" s="14"/>
      <c r="D34" s="14"/>
      <c r="E34" s="14"/>
      <c r="F34" s="14"/>
      <c r="G34" s="14"/>
      <c r="H34" s="14"/>
      <c r="I34" s="14"/>
      <c r="J34" s="14"/>
      <c r="K34" s="14"/>
      <c r="L34" s="14"/>
      <c r="M34" s="14"/>
      <c r="N34" s="14"/>
      <c r="O34" s="14"/>
      <c r="P34" s="14"/>
      <c r="Q34" s="673" t="s">
        <v>916</v>
      </c>
      <c r="R34" s="674">
        <v>15</v>
      </c>
      <c r="S34" s="14"/>
      <c r="T34" s="14"/>
      <c r="U34" s="673" t="s">
        <v>913</v>
      </c>
      <c r="V34" s="674">
        <v>20</v>
      </c>
      <c r="W34" s="14"/>
      <c r="X34" s="14"/>
      <c r="Y34" s="14"/>
      <c r="Z34" s="14"/>
      <c r="AA34" s="14"/>
      <c r="AB34" s="19"/>
      <c r="AC34" s="19"/>
      <c r="AD34" s="19"/>
      <c r="AE34" s="19"/>
      <c r="AF34" s="19"/>
      <c r="AG34" s="19"/>
      <c r="AH34" s="19"/>
      <c r="AI34" s="19"/>
      <c r="AJ34" s="19"/>
      <c r="AK34" s="19"/>
      <c r="AL34" s="700" t="s">
        <v>891</v>
      </c>
      <c r="AP34" s="4" t="s">
        <v>261</v>
      </c>
      <c r="CE34" s="5"/>
    </row>
    <row r="35" spans="1:83" x14ac:dyDescent="0.25">
      <c r="A35" s="14"/>
      <c r="B35" s="14"/>
      <c r="C35" s="14"/>
      <c r="D35" s="14"/>
      <c r="E35" s="14"/>
      <c r="F35" s="14"/>
      <c r="G35" s="14"/>
      <c r="H35" s="14"/>
      <c r="I35" s="14"/>
      <c r="J35" s="14"/>
      <c r="K35" s="14"/>
      <c r="L35" s="14"/>
      <c r="M35" s="14"/>
      <c r="N35" s="14"/>
      <c r="O35" s="14"/>
      <c r="P35" s="14"/>
      <c r="Q35" s="671" t="s">
        <v>917</v>
      </c>
      <c r="R35" s="672">
        <v>12</v>
      </c>
      <c r="S35" s="14"/>
      <c r="T35" s="14"/>
      <c r="U35" s="673" t="s">
        <v>914</v>
      </c>
      <c r="V35" s="674">
        <v>22</v>
      </c>
      <c r="W35" s="14"/>
      <c r="X35" s="14"/>
      <c r="Y35" s="14"/>
      <c r="Z35" s="14"/>
      <c r="AA35" s="14"/>
      <c r="AB35" s="19"/>
      <c r="AC35" s="19"/>
      <c r="AD35" s="19"/>
      <c r="AE35" s="19"/>
      <c r="AF35" s="19"/>
      <c r="AG35" s="19"/>
      <c r="AH35" s="19"/>
      <c r="AI35" s="19"/>
      <c r="AJ35" s="19"/>
      <c r="AK35" s="19"/>
      <c r="AL35" s="700" t="s">
        <v>892</v>
      </c>
      <c r="AP35" s="4" t="s">
        <v>260</v>
      </c>
      <c r="CE35" s="5"/>
    </row>
    <row r="36" spans="1:83" x14ac:dyDescent="0.25">
      <c r="A36" s="14"/>
      <c r="B36" s="14"/>
      <c r="C36" s="14"/>
      <c r="D36" s="14"/>
      <c r="E36" s="14"/>
      <c r="F36" s="14"/>
      <c r="G36" s="14"/>
      <c r="H36" s="14"/>
      <c r="I36" s="14"/>
      <c r="J36" s="14"/>
      <c r="K36" s="14"/>
      <c r="L36" s="14"/>
      <c r="M36" s="14"/>
      <c r="N36" s="14"/>
      <c r="O36" s="14"/>
      <c r="P36" s="14"/>
      <c r="Q36" s="661"/>
      <c r="R36" s="661"/>
      <c r="S36" s="14"/>
      <c r="T36" s="14"/>
      <c r="U36" s="673" t="s">
        <v>915</v>
      </c>
      <c r="V36" s="674">
        <v>15</v>
      </c>
      <c r="W36" s="14"/>
      <c r="X36" s="14"/>
      <c r="Y36" s="14"/>
      <c r="Z36" s="14"/>
      <c r="AA36" s="14"/>
      <c r="AB36" s="19"/>
      <c r="AC36" s="19"/>
      <c r="AD36" s="19"/>
      <c r="AE36" s="19"/>
      <c r="AF36" s="19"/>
      <c r="AG36" s="19"/>
      <c r="AH36" s="19"/>
      <c r="AI36" s="19"/>
      <c r="AJ36" s="19"/>
      <c r="AK36" s="19"/>
      <c r="AL36" s="700" t="s">
        <v>893</v>
      </c>
      <c r="AP36" s="4" t="s">
        <v>259</v>
      </c>
      <c r="CE36" s="5"/>
    </row>
    <row r="37" spans="1:83" x14ac:dyDescent="0.25">
      <c r="A37" s="14"/>
      <c r="B37" s="14"/>
      <c r="C37" s="14"/>
      <c r="D37" s="14"/>
      <c r="E37" s="14"/>
      <c r="F37" s="14"/>
      <c r="G37" s="14"/>
      <c r="H37" s="14"/>
      <c r="I37" s="14"/>
      <c r="J37" s="14"/>
      <c r="K37" s="14"/>
      <c r="L37" s="14"/>
      <c r="M37" s="14"/>
      <c r="N37" s="14"/>
      <c r="O37" s="14"/>
      <c r="P37" s="14"/>
      <c r="Q37" s="661"/>
      <c r="R37" s="661"/>
      <c r="S37" s="14"/>
      <c r="T37" s="14"/>
      <c r="U37" s="673" t="s">
        <v>916</v>
      </c>
      <c r="V37" s="674">
        <v>15</v>
      </c>
      <c r="W37" s="14"/>
      <c r="X37" s="14"/>
      <c r="Y37" s="14"/>
      <c r="Z37" s="14"/>
      <c r="AA37" s="14"/>
      <c r="AB37" s="19"/>
      <c r="AC37" s="19"/>
      <c r="AD37" s="19"/>
      <c r="AE37" s="19"/>
      <c r="AF37" s="19"/>
      <c r="AG37" s="19"/>
      <c r="AH37" s="19"/>
      <c r="AI37" s="19"/>
      <c r="AJ37" s="19"/>
      <c r="AK37" s="19"/>
      <c r="AL37" s="700" t="s">
        <v>894</v>
      </c>
      <c r="AP37" s="4" t="s">
        <v>258</v>
      </c>
      <c r="CE37" s="5"/>
    </row>
    <row r="38" spans="1:83" x14ac:dyDescent="0.25">
      <c r="A38" s="14"/>
      <c r="B38" s="14"/>
      <c r="C38" s="14"/>
      <c r="D38" s="14"/>
      <c r="E38" s="14"/>
      <c r="F38" s="14"/>
      <c r="G38" s="14"/>
      <c r="H38" s="14"/>
      <c r="I38" s="14"/>
      <c r="J38" s="14"/>
      <c r="K38" s="14"/>
      <c r="L38" s="14"/>
      <c r="M38" s="14"/>
      <c r="N38" s="14"/>
      <c r="O38" s="14"/>
      <c r="P38" s="14"/>
      <c r="Q38" s="661"/>
      <c r="R38" s="661"/>
      <c r="S38" s="14"/>
      <c r="T38" s="14"/>
      <c r="U38" s="14"/>
      <c r="V38" s="14"/>
      <c r="W38" s="14"/>
      <c r="X38" s="14"/>
      <c r="Y38" s="14"/>
      <c r="Z38" s="14"/>
      <c r="AA38" s="14"/>
      <c r="AB38" s="19"/>
      <c r="AC38" s="19"/>
      <c r="AD38" s="19"/>
      <c r="AE38" s="19"/>
      <c r="AF38" s="19"/>
      <c r="AG38" s="19"/>
      <c r="AH38" s="19"/>
      <c r="AI38" s="19"/>
      <c r="AJ38" s="19"/>
      <c r="AK38" s="19"/>
      <c r="AL38" s="700" t="s">
        <v>713</v>
      </c>
      <c r="AP38" s="4" t="s">
        <v>257</v>
      </c>
      <c r="CE38" s="5"/>
    </row>
    <row r="39" spans="1:83" x14ac:dyDescent="0.25">
      <c r="A39" s="14"/>
      <c r="B39" s="14"/>
      <c r="C39" s="14"/>
      <c r="D39" s="14"/>
      <c r="E39" s="14"/>
      <c r="F39" s="14"/>
      <c r="G39" s="14"/>
      <c r="H39" s="14"/>
      <c r="I39" s="14"/>
      <c r="J39" s="14"/>
      <c r="K39" s="14"/>
      <c r="L39" s="14"/>
      <c r="M39" s="14"/>
      <c r="N39" s="14"/>
      <c r="O39" s="14"/>
      <c r="P39" s="14"/>
      <c r="Q39" s="661"/>
      <c r="R39" s="661"/>
      <c r="S39" s="14"/>
      <c r="T39" s="14"/>
      <c r="U39" s="14"/>
      <c r="V39" s="14"/>
      <c r="W39" s="14"/>
      <c r="X39" s="14"/>
      <c r="Y39" s="14"/>
      <c r="Z39" s="14"/>
      <c r="AA39" s="14"/>
      <c r="AB39" s="19"/>
      <c r="AC39" s="19"/>
      <c r="AD39" s="19"/>
      <c r="AE39" s="19"/>
      <c r="AF39" s="19"/>
      <c r="AG39" s="19"/>
      <c r="AH39" s="19"/>
      <c r="AI39" s="19"/>
      <c r="AJ39" s="19"/>
      <c r="AK39" s="19"/>
      <c r="AL39" s="700" t="s">
        <v>895</v>
      </c>
      <c r="AP39" s="4" t="s">
        <v>256</v>
      </c>
    </row>
    <row r="40" spans="1:83" x14ac:dyDescent="0.25">
      <c r="A40" s="14"/>
      <c r="B40" s="14"/>
      <c r="C40" s="14"/>
      <c r="D40" s="14"/>
      <c r="E40" s="14"/>
      <c r="F40" s="14"/>
      <c r="G40" s="14"/>
      <c r="H40" s="14"/>
      <c r="I40" s="14"/>
      <c r="J40" s="14"/>
      <c r="K40" s="14"/>
      <c r="L40" s="14"/>
      <c r="M40" s="14"/>
      <c r="N40" s="14"/>
      <c r="O40" s="14"/>
      <c r="P40" s="14"/>
      <c r="Q40" s="661"/>
      <c r="R40" s="661"/>
      <c r="S40" s="14"/>
      <c r="T40" s="14"/>
      <c r="U40" s="14"/>
      <c r="V40" s="14"/>
      <c r="W40" s="14"/>
      <c r="X40" s="14"/>
      <c r="Y40" s="14"/>
      <c r="Z40" s="14"/>
      <c r="AA40" s="14"/>
      <c r="AB40" s="19"/>
      <c r="AC40" s="19"/>
      <c r="AD40" s="19"/>
      <c r="AE40" s="19"/>
      <c r="AF40" s="19"/>
      <c r="AG40" s="19"/>
      <c r="AH40" s="19"/>
      <c r="AI40" s="19"/>
      <c r="AJ40" s="19"/>
      <c r="AK40" s="19"/>
      <c r="AL40" s="700" t="s">
        <v>244</v>
      </c>
      <c r="AP40" s="4" t="s">
        <v>255</v>
      </c>
    </row>
    <row r="41" spans="1:83" x14ac:dyDescent="0.25">
      <c r="A41" s="19"/>
      <c r="B41" s="19"/>
      <c r="C41" s="19"/>
      <c r="D41" s="19"/>
      <c r="E41" s="19"/>
      <c r="F41" s="19"/>
      <c r="G41" s="19"/>
      <c r="H41" s="19"/>
      <c r="I41" s="29"/>
      <c r="J41" s="19"/>
      <c r="K41" s="19"/>
      <c r="L41" s="19"/>
      <c r="M41" s="19"/>
      <c r="N41" s="19"/>
      <c r="O41" s="29"/>
      <c r="P41" s="29"/>
      <c r="Q41" s="662"/>
      <c r="R41" s="662"/>
      <c r="S41" s="29"/>
      <c r="T41" s="29"/>
      <c r="U41" s="29"/>
      <c r="V41" s="29"/>
      <c r="W41" s="19"/>
      <c r="X41" s="19"/>
      <c r="Y41" s="19"/>
      <c r="Z41" s="19"/>
      <c r="AA41" s="29"/>
      <c r="AB41" s="19"/>
      <c r="AC41" s="29"/>
      <c r="AD41" s="29"/>
      <c r="AE41" s="29"/>
      <c r="AF41" s="29"/>
      <c r="AG41" s="19"/>
      <c r="AH41" s="29"/>
      <c r="AI41" s="19"/>
      <c r="AJ41" s="19"/>
      <c r="AK41" s="19"/>
      <c r="AL41" s="700" t="s">
        <v>714</v>
      </c>
      <c r="AP41" s="4" t="s">
        <v>254</v>
      </c>
    </row>
    <row r="42" spans="1:83" x14ac:dyDescent="0.25">
      <c r="A42" s="19"/>
      <c r="B42" s="19"/>
      <c r="C42" s="19"/>
      <c r="D42" s="19"/>
      <c r="E42" s="19"/>
      <c r="F42" s="19"/>
      <c r="G42" s="19"/>
      <c r="H42" s="19"/>
      <c r="I42" s="29"/>
      <c r="J42" s="19"/>
      <c r="K42" s="19"/>
      <c r="L42" s="19"/>
      <c r="M42" s="19"/>
      <c r="N42" s="19"/>
      <c r="O42" s="29"/>
      <c r="P42" s="29"/>
      <c r="Q42" s="663"/>
      <c r="R42" s="663"/>
      <c r="S42" s="29"/>
      <c r="T42" s="29"/>
      <c r="U42" s="29"/>
      <c r="V42" s="29"/>
      <c r="W42" s="19"/>
      <c r="X42" s="19"/>
      <c r="Y42" s="19"/>
      <c r="Z42" s="19"/>
      <c r="AA42" s="29"/>
      <c r="AB42" s="19"/>
      <c r="AC42" s="29"/>
      <c r="AD42" s="29"/>
      <c r="AE42" s="29"/>
      <c r="AF42" s="29"/>
      <c r="AG42" s="19"/>
      <c r="AH42" s="29"/>
      <c r="AI42" s="19"/>
      <c r="AJ42" s="19"/>
      <c r="AK42" s="19"/>
      <c r="AL42" s="700" t="s">
        <v>715</v>
      </c>
      <c r="AP42" s="4" t="s">
        <v>253</v>
      </c>
    </row>
    <row r="43" spans="1:83" x14ac:dyDescent="0.25">
      <c r="A43" s="19"/>
      <c r="B43" s="19"/>
      <c r="C43" s="19"/>
      <c r="D43" s="19"/>
      <c r="E43" s="19"/>
      <c r="F43" s="19"/>
      <c r="G43" s="19"/>
      <c r="H43" s="19"/>
      <c r="I43" s="29"/>
      <c r="J43" s="19"/>
      <c r="K43" s="19"/>
      <c r="L43" s="19"/>
      <c r="M43" s="19"/>
      <c r="N43" s="19"/>
      <c r="O43" s="29"/>
      <c r="P43" s="29"/>
      <c r="Q43" s="663"/>
      <c r="R43" s="663"/>
      <c r="S43" s="29"/>
      <c r="T43" s="29"/>
      <c r="U43" s="29"/>
      <c r="V43" s="29"/>
      <c r="W43" s="19"/>
      <c r="X43" s="19"/>
      <c r="Y43" s="19"/>
      <c r="Z43" s="19"/>
      <c r="AA43" s="29"/>
      <c r="AB43" s="19"/>
      <c r="AC43" s="29"/>
      <c r="AD43" s="29"/>
      <c r="AE43" s="29"/>
      <c r="AF43" s="29"/>
      <c r="AG43" s="19"/>
      <c r="AH43" s="29"/>
      <c r="AI43" s="19"/>
      <c r="AJ43" s="19"/>
      <c r="AK43" s="19"/>
      <c r="AL43" s="700" t="s">
        <v>716</v>
      </c>
      <c r="AP43" s="4" t="s">
        <v>252</v>
      </c>
    </row>
    <row r="44" spans="1:83" x14ac:dyDescent="0.25">
      <c r="A44" s="19"/>
      <c r="B44" s="19"/>
      <c r="C44" s="19"/>
      <c r="D44" s="19"/>
      <c r="E44" s="19"/>
      <c r="F44" s="19"/>
      <c r="G44" s="19"/>
      <c r="H44" s="19"/>
      <c r="I44" s="29"/>
      <c r="J44" s="19"/>
      <c r="K44" s="19"/>
      <c r="L44" s="19"/>
      <c r="M44" s="19"/>
      <c r="N44" s="19"/>
      <c r="O44" s="29"/>
      <c r="P44" s="29"/>
      <c r="Q44" s="663"/>
      <c r="R44" s="663"/>
      <c r="S44" s="29"/>
      <c r="T44" s="29"/>
      <c r="U44" s="29"/>
      <c r="V44" s="29"/>
      <c r="W44" s="19"/>
      <c r="X44" s="19"/>
      <c r="Y44" s="19"/>
      <c r="Z44" s="19"/>
      <c r="AA44" s="29"/>
      <c r="AB44" s="19"/>
      <c r="AC44" s="29"/>
      <c r="AD44" s="29"/>
      <c r="AE44" s="29"/>
      <c r="AF44" s="29"/>
      <c r="AG44" s="19"/>
      <c r="AH44" s="29"/>
      <c r="AI44" s="19"/>
      <c r="AJ44" s="19"/>
      <c r="AK44" s="19"/>
      <c r="AL44" s="700" t="s">
        <v>7</v>
      </c>
      <c r="AP44" s="4" t="s">
        <v>251</v>
      </c>
    </row>
    <row r="45" spans="1:83" x14ac:dyDescent="0.25">
      <c r="A45" s="19"/>
      <c r="B45" s="19"/>
      <c r="C45" s="19"/>
      <c r="D45" s="19"/>
      <c r="E45" s="19"/>
      <c r="F45" s="19"/>
      <c r="G45" s="19"/>
      <c r="H45" s="19"/>
      <c r="I45" s="29"/>
      <c r="J45" s="19"/>
      <c r="K45" s="19"/>
      <c r="L45" s="19"/>
      <c r="M45" s="19"/>
      <c r="N45" s="19"/>
      <c r="O45" s="29"/>
      <c r="P45" s="29"/>
      <c r="Q45" s="663"/>
      <c r="R45" s="663"/>
      <c r="S45" s="29"/>
      <c r="T45" s="29"/>
      <c r="U45" s="29"/>
      <c r="V45" s="29"/>
      <c r="W45" s="19"/>
      <c r="X45" s="19"/>
      <c r="Y45" s="19"/>
      <c r="Z45" s="19"/>
      <c r="AA45" s="29"/>
      <c r="AB45" s="19"/>
      <c r="AC45" s="29"/>
      <c r="AD45" s="29"/>
      <c r="AE45" s="29"/>
      <c r="AF45" s="29"/>
      <c r="AG45" s="19"/>
      <c r="AH45" s="29"/>
      <c r="AI45" s="19"/>
      <c r="AJ45" s="19"/>
      <c r="AK45" s="19"/>
      <c r="AL45" s="700"/>
      <c r="AP45" s="4" t="s">
        <v>250</v>
      </c>
    </row>
    <row r="46" spans="1:83" x14ac:dyDescent="0.25">
      <c r="A46" s="19"/>
      <c r="B46" s="19"/>
      <c r="C46" s="19"/>
      <c r="D46" s="19"/>
      <c r="E46" s="19"/>
      <c r="F46" s="19"/>
      <c r="G46" s="19"/>
      <c r="H46" s="19"/>
      <c r="I46" s="29"/>
      <c r="J46" s="19"/>
      <c r="K46" s="19"/>
      <c r="L46" s="19"/>
      <c r="M46" s="19"/>
      <c r="N46" s="19"/>
      <c r="O46" s="29"/>
      <c r="P46" s="29"/>
      <c r="Q46" s="663"/>
      <c r="R46" s="663"/>
      <c r="S46" s="29"/>
      <c r="T46" s="29"/>
      <c r="U46" s="29"/>
      <c r="V46" s="29"/>
      <c r="W46" s="19"/>
      <c r="X46" s="19"/>
      <c r="Y46" s="19"/>
      <c r="Z46" s="19"/>
      <c r="AA46" s="29"/>
      <c r="AB46" s="19"/>
      <c r="AC46" s="29"/>
      <c r="AD46" s="29"/>
      <c r="AE46" s="29"/>
      <c r="AF46" s="29"/>
      <c r="AG46" s="19"/>
      <c r="AH46" s="29"/>
      <c r="AI46" s="19"/>
      <c r="AJ46" s="19"/>
      <c r="AK46" s="19"/>
      <c r="AL46" s="700"/>
      <c r="AP46" s="4" t="s">
        <v>249</v>
      </c>
    </row>
    <row r="47" spans="1:83" x14ac:dyDescent="0.25">
      <c r="A47" s="19"/>
      <c r="B47" s="19"/>
      <c r="C47" s="19"/>
      <c r="D47" s="19"/>
      <c r="E47" s="19"/>
      <c r="F47" s="19"/>
      <c r="G47" s="19"/>
      <c r="H47" s="19"/>
      <c r="I47" s="29"/>
      <c r="J47" s="19"/>
      <c r="K47" s="19"/>
      <c r="L47" s="19"/>
      <c r="M47" s="19"/>
      <c r="N47" s="19"/>
      <c r="O47" s="29"/>
      <c r="P47" s="29"/>
      <c r="Q47" s="663"/>
      <c r="R47" s="663"/>
      <c r="S47" s="29"/>
      <c r="T47" s="29"/>
      <c r="U47" s="29"/>
      <c r="V47" s="29"/>
      <c r="W47" s="19"/>
      <c r="X47" s="19"/>
      <c r="Y47" s="19"/>
      <c r="Z47" s="19"/>
      <c r="AA47" s="29"/>
      <c r="AB47" s="19"/>
      <c r="AC47" s="29"/>
      <c r="AD47" s="29"/>
      <c r="AE47" s="29"/>
      <c r="AF47" s="29"/>
      <c r="AG47" s="19"/>
      <c r="AH47" s="29"/>
      <c r="AI47" s="19"/>
      <c r="AJ47" s="19"/>
      <c r="AK47" s="19"/>
      <c r="AL47" s="700"/>
      <c r="AP47" s="4" t="s">
        <v>248</v>
      </c>
    </row>
    <row r="48" spans="1:83" x14ac:dyDescent="0.25">
      <c r="A48" s="19"/>
      <c r="B48" s="19"/>
      <c r="C48" s="19"/>
      <c r="D48" s="19"/>
      <c r="E48" s="19"/>
      <c r="F48" s="19"/>
      <c r="G48" s="19"/>
      <c r="H48" s="19"/>
      <c r="I48" s="29"/>
      <c r="J48" s="19"/>
      <c r="K48" s="19"/>
      <c r="L48" s="19"/>
      <c r="M48" s="19"/>
      <c r="N48" s="19"/>
      <c r="O48" s="29"/>
      <c r="P48" s="29"/>
      <c r="Q48" s="664"/>
      <c r="R48" s="664"/>
      <c r="S48" s="29"/>
      <c r="T48" s="29"/>
      <c r="U48" s="29"/>
      <c r="V48" s="29"/>
      <c r="W48" s="19"/>
      <c r="X48" s="19"/>
      <c r="Y48" s="19"/>
      <c r="Z48" s="19"/>
      <c r="AA48" s="29"/>
      <c r="AB48" s="19"/>
      <c r="AC48" s="29"/>
      <c r="AD48" s="29"/>
      <c r="AE48" s="29"/>
      <c r="AF48" s="29"/>
      <c r="AG48" s="19"/>
      <c r="AH48" s="29"/>
      <c r="AI48" s="19"/>
      <c r="AJ48" s="19"/>
      <c r="AK48" s="19"/>
      <c r="AL48" s="700"/>
      <c r="AP48" s="4" t="s">
        <v>247</v>
      </c>
    </row>
    <row r="49" spans="1:44" x14ac:dyDescent="0.25">
      <c r="A49" s="19"/>
      <c r="B49" s="19"/>
      <c r="C49" s="19"/>
      <c r="D49" s="19"/>
      <c r="E49" s="19"/>
      <c r="F49" s="19"/>
      <c r="G49" s="19"/>
      <c r="H49" s="19"/>
      <c r="I49" s="29"/>
      <c r="J49" s="19"/>
      <c r="K49" s="19"/>
      <c r="L49" s="19"/>
      <c r="M49" s="19"/>
      <c r="N49" s="19"/>
      <c r="O49" s="29"/>
      <c r="P49" s="29"/>
      <c r="Q49" s="665"/>
      <c r="R49" s="665"/>
      <c r="S49" s="29"/>
      <c r="T49" s="29"/>
      <c r="U49" s="29"/>
      <c r="V49" s="29"/>
      <c r="W49" s="19"/>
      <c r="X49" s="19"/>
      <c r="Y49" s="19"/>
      <c r="Z49" s="19"/>
      <c r="AA49" s="29"/>
      <c r="AB49" s="19"/>
      <c r="AC49" s="29"/>
      <c r="AD49" s="29"/>
      <c r="AE49" s="29"/>
      <c r="AF49" s="29"/>
      <c r="AG49" s="19"/>
      <c r="AH49" s="29"/>
      <c r="AI49" s="19"/>
      <c r="AJ49" s="19"/>
      <c r="AK49" s="19"/>
      <c r="AL49" s="700"/>
      <c r="AP49" s="4" t="s">
        <v>246</v>
      </c>
    </row>
    <row r="50" spans="1:44" x14ac:dyDescent="0.25">
      <c r="O50" s="24"/>
      <c r="AR50" s="4" t="s">
        <v>245</v>
      </c>
    </row>
    <row r="51" spans="1:44" x14ac:dyDescent="0.25">
      <c r="O51" s="24"/>
      <c r="AR51" s="4" t="s">
        <v>244</v>
      </c>
    </row>
    <row r="52" spans="1:44" x14ac:dyDescent="0.25">
      <c r="O52" s="24"/>
      <c r="AR52" s="4" t="s">
        <v>243</v>
      </c>
    </row>
    <row r="53" spans="1:44" x14ac:dyDescent="0.25">
      <c r="O53" s="24"/>
      <c r="S53" s="23"/>
      <c r="X53" s="23"/>
      <c r="AR53" s="4" t="s">
        <v>242</v>
      </c>
    </row>
    <row r="54" spans="1:44" x14ac:dyDescent="0.25">
      <c r="O54" s="24"/>
      <c r="S54" s="23"/>
      <c r="X54" s="23"/>
      <c r="AR54" s="4" t="s">
        <v>241</v>
      </c>
    </row>
    <row r="55" spans="1:44" x14ac:dyDescent="0.25">
      <c r="N55" s="4" t="s">
        <v>169</v>
      </c>
      <c r="O55" s="24"/>
      <c r="S55"/>
      <c r="X55"/>
      <c r="AR55" s="4" t="s">
        <v>240</v>
      </c>
    </row>
    <row r="56" spans="1:44" x14ac:dyDescent="0.25">
      <c r="N56" s="4" t="s">
        <v>174</v>
      </c>
      <c r="O56" s="24"/>
      <c r="S56"/>
      <c r="X56"/>
      <c r="AR56" s="4" t="s">
        <v>239</v>
      </c>
    </row>
    <row r="57" spans="1:44" x14ac:dyDescent="0.25">
      <c r="N57" s="4" t="s">
        <v>180</v>
      </c>
      <c r="O57" s="24"/>
      <c r="S57"/>
      <c r="X57"/>
      <c r="AR57" s="4" t="s">
        <v>238</v>
      </c>
    </row>
    <row r="58" spans="1:44" x14ac:dyDescent="0.25">
      <c r="N58" s="4" t="s">
        <v>184</v>
      </c>
      <c r="S58"/>
      <c r="X58"/>
      <c r="AR58" s="4" t="s">
        <v>237</v>
      </c>
    </row>
    <row r="59" spans="1:44" x14ac:dyDescent="0.25">
      <c r="N59" s="4" t="s">
        <v>188</v>
      </c>
      <c r="S59"/>
      <c r="X59"/>
      <c r="AR59" s="4" t="s">
        <v>236</v>
      </c>
    </row>
    <row r="60" spans="1:44" x14ac:dyDescent="0.25">
      <c r="N60" s="4" t="s">
        <v>192</v>
      </c>
      <c r="S60"/>
      <c r="X60"/>
    </row>
    <row r="61" spans="1:44" x14ac:dyDescent="0.25">
      <c r="N61" s="4" t="s">
        <v>197</v>
      </c>
      <c r="S61"/>
      <c r="X61"/>
    </row>
    <row r="62" spans="1:44" x14ac:dyDescent="0.25">
      <c r="N62" s="4" t="s">
        <v>202</v>
      </c>
      <c r="S62"/>
      <c r="X62"/>
    </row>
    <row r="63" spans="1:44" x14ac:dyDescent="0.25">
      <c r="S63"/>
      <c r="X63"/>
    </row>
  </sheetData>
  <sheetProtection sheet="1" objects="1" scenarios="1"/>
  <mergeCells count="5">
    <mergeCell ref="BA1:BJ1"/>
    <mergeCell ref="BL1:BR1"/>
    <mergeCell ref="BU1:BW1"/>
    <mergeCell ref="BF2:BJ2"/>
    <mergeCell ref="BZ1:CG1"/>
  </mergeCells>
  <dataValidations disablePrompts="1" count="1">
    <dataValidation type="list" allowBlank="1" showInputMessage="1" showErrorMessage="1" sqref="BW30" xr:uid="{AED4D610-8999-4973-992F-F5E64DFAF356}">
      <formula1>"Yes, No"</formula1>
    </dataValidation>
  </dataValidations>
  <pageMargins left="0.7" right="0.7" top="0.75" bottom="0.75" header="0.3" footer="0.3"/>
  <pageSetup orientation="portrait" r:id="rId1"/>
  <legacyDrawing r:id="rId2"/>
  <tableParts count="8">
    <tablePart r:id="rId3"/>
    <tablePart r:id="rId4"/>
    <tablePart r:id="rId5"/>
    <tablePart r:id="rId6"/>
    <tablePart r:id="rId7"/>
    <tablePart r:id="rId8"/>
    <tablePart r:id="rId9"/>
    <tablePart r:id="rId1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1"/>
    <pageSetUpPr fitToPage="1"/>
  </sheetPr>
  <dimension ref="A1:O143"/>
  <sheetViews>
    <sheetView showGridLines="0" zoomScaleNormal="100" zoomScalePageLayoutView="145" workbookViewId="0"/>
  </sheetViews>
  <sheetFormatPr defaultColWidth="0" defaultRowHeight="15" customHeight="1" zeroHeight="1" x14ac:dyDescent="0.2"/>
  <cols>
    <col min="1" max="1" width="2.85546875" style="189" customWidth="1"/>
    <col min="2" max="3" width="8.42578125" style="189" customWidth="1"/>
    <col min="4" max="4" width="3.28515625" style="189" bestFit="1" customWidth="1"/>
    <col min="5" max="11" width="8.140625" style="189" customWidth="1"/>
    <col min="12" max="12" width="6" style="189" customWidth="1"/>
    <col min="13" max="13" width="10.85546875" style="189" customWidth="1"/>
    <col min="14" max="14" width="5.7109375" style="189" customWidth="1"/>
    <col min="15" max="15" width="2.85546875" style="189" customWidth="1"/>
    <col min="16" max="16384" width="9.140625" style="189" hidden="1"/>
  </cols>
  <sheetData>
    <row r="1" spans="2:14" ht="15" customHeight="1" thickBot="1" x14ac:dyDescent="0.25"/>
    <row r="2" spans="2:14" ht="15" customHeight="1" x14ac:dyDescent="0.2">
      <c r="B2" s="853" t="s">
        <v>402</v>
      </c>
      <c r="C2" s="853"/>
      <c r="D2" s="853"/>
      <c r="E2" s="853"/>
      <c r="F2" s="853"/>
      <c r="G2" s="853"/>
      <c r="H2" s="853"/>
      <c r="I2" s="853"/>
      <c r="J2" s="853"/>
      <c r="K2" s="853"/>
      <c r="L2" s="853"/>
      <c r="M2" s="827" t="str">
        <f>'4.0 Report Summary'!H2</f>
        <v>CleanBC Custom Workbook
Version 3.0
August 2022</v>
      </c>
      <c r="N2" s="827"/>
    </row>
    <row r="3" spans="2:14" ht="15" customHeight="1" x14ac:dyDescent="0.2">
      <c r="B3" s="849"/>
      <c r="C3" s="849"/>
      <c r="D3" s="849"/>
      <c r="E3" s="849"/>
      <c r="F3" s="849"/>
      <c r="G3" s="849"/>
      <c r="H3" s="849"/>
      <c r="I3" s="849"/>
      <c r="J3" s="849"/>
      <c r="K3" s="849"/>
      <c r="L3" s="849"/>
      <c r="M3" s="807"/>
      <c r="N3" s="807"/>
    </row>
    <row r="4" spans="2:14" ht="15" customHeight="1" x14ac:dyDescent="0.2">
      <c r="B4" s="849"/>
      <c r="C4" s="849"/>
      <c r="D4" s="849"/>
      <c r="E4" s="849"/>
      <c r="F4" s="849"/>
      <c r="G4" s="849"/>
      <c r="H4" s="849"/>
      <c r="I4" s="849"/>
      <c r="J4" s="849"/>
      <c r="K4" s="849"/>
      <c r="L4" s="849"/>
      <c r="M4" s="807"/>
      <c r="N4" s="807"/>
    </row>
    <row r="5" spans="2:14" ht="15" customHeight="1" thickBot="1" x14ac:dyDescent="0.25">
      <c r="B5" s="854"/>
      <c r="C5" s="854"/>
      <c r="D5" s="854"/>
      <c r="E5" s="854"/>
      <c r="F5" s="854"/>
      <c r="G5" s="854"/>
      <c r="H5" s="854"/>
      <c r="I5" s="854"/>
      <c r="J5" s="854"/>
      <c r="K5" s="854"/>
      <c r="L5" s="854"/>
      <c r="M5" s="828"/>
      <c r="N5" s="828"/>
    </row>
    <row r="6" spans="2:14" ht="22.5" customHeight="1" x14ac:dyDescent="0.2">
      <c r="B6" s="833" t="s">
        <v>676</v>
      </c>
      <c r="C6" s="833"/>
      <c r="D6" s="834"/>
      <c r="E6" s="834"/>
      <c r="F6" s="834"/>
      <c r="G6" s="834"/>
      <c r="H6" s="834"/>
      <c r="I6" s="834"/>
      <c r="J6" s="834"/>
      <c r="K6" s="834"/>
      <c r="L6" s="834"/>
      <c r="M6" s="834"/>
      <c r="N6" s="834"/>
    </row>
    <row r="7" spans="2:14" ht="15" customHeight="1" x14ac:dyDescent="0.2">
      <c r="B7" s="182" t="s">
        <v>725</v>
      </c>
      <c r="C7" s="494"/>
      <c r="D7" s="164"/>
      <c r="E7" s="182" t="s">
        <v>217</v>
      </c>
      <c r="F7" s="495"/>
      <c r="G7" s="169" t="str">
        <f>IF(F7="","Enter 1 if initial version","")</f>
        <v>Enter 1 if initial version</v>
      </c>
      <c r="H7" s="164"/>
      <c r="I7" s="164"/>
      <c r="J7" s="182" t="s">
        <v>4</v>
      </c>
      <c r="K7" s="838"/>
      <c r="L7" s="838"/>
      <c r="M7" s="170" t="str">
        <f>IF(K7="","yyyy-mm-dd","")</f>
        <v>yyyy-mm-dd</v>
      </c>
      <c r="N7" s="137"/>
    </row>
    <row r="8" spans="2:14" ht="15" customHeight="1" x14ac:dyDescent="0.2">
      <c r="B8" s="164"/>
      <c r="C8" s="164"/>
      <c r="D8" s="167"/>
      <c r="E8" s="190"/>
      <c r="F8" s="149"/>
      <c r="G8" s="168"/>
      <c r="H8" s="168"/>
      <c r="I8" s="168"/>
      <c r="J8" s="167"/>
      <c r="K8" s="191"/>
      <c r="L8" s="191"/>
      <c r="M8" s="139"/>
      <c r="N8" s="137"/>
    </row>
    <row r="9" spans="2:14" s="130" customFormat="1" ht="15" customHeight="1" x14ac:dyDescent="0.2">
      <c r="B9" s="815" t="s">
        <v>812</v>
      </c>
      <c r="C9" s="815"/>
      <c r="D9" s="815"/>
      <c r="E9" s="815"/>
      <c r="F9" s="815"/>
      <c r="G9" s="815"/>
      <c r="H9" s="815"/>
      <c r="I9" s="815"/>
      <c r="J9" s="815"/>
      <c r="K9" s="815"/>
      <c r="L9" s="815"/>
      <c r="M9" s="815"/>
    </row>
    <row r="10" spans="2:14" s="130" customFormat="1" ht="15" customHeight="1" x14ac:dyDescent="0.2">
      <c r="B10" s="171"/>
      <c r="C10" s="176"/>
      <c r="D10" s="176"/>
      <c r="E10" s="176"/>
      <c r="F10" s="176"/>
      <c r="G10" s="176"/>
      <c r="H10" s="176"/>
      <c r="I10" s="176"/>
      <c r="J10" s="176"/>
      <c r="K10" s="176"/>
      <c r="L10" s="176"/>
      <c r="M10" s="176"/>
    </row>
    <row r="11" spans="2:14" ht="15" customHeight="1" x14ac:dyDescent="0.2">
      <c r="B11" s="840" t="s">
        <v>224</v>
      </c>
      <c r="C11" s="840"/>
      <c r="D11" s="840"/>
      <c r="E11" s="835"/>
      <c r="F11" s="835"/>
      <c r="G11" s="835"/>
      <c r="H11" s="835"/>
      <c r="I11" s="835"/>
      <c r="J11" s="835"/>
      <c r="K11" s="835"/>
      <c r="L11" s="835"/>
      <c r="M11" s="835"/>
      <c r="N11" s="835"/>
    </row>
    <row r="12" spans="2:14" ht="15" customHeight="1" x14ac:dyDescent="0.2">
      <c r="B12" s="840" t="s">
        <v>355</v>
      </c>
      <c r="C12" s="840"/>
      <c r="D12" s="840"/>
      <c r="E12" s="835"/>
      <c r="F12" s="835"/>
      <c r="G12" s="835"/>
      <c r="H12" s="835"/>
      <c r="I12" s="835"/>
      <c r="J12" s="835"/>
      <c r="K12" s="835"/>
      <c r="L12" s="835"/>
      <c r="M12" s="835"/>
      <c r="N12" s="835"/>
    </row>
    <row r="13" spans="2:14" ht="15" customHeight="1" x14ac:dyDescent="0.2">
      <c r="B13" s="840" t="s">
        <v>225</v>
      </c>
      <c r="C13" s="840"/>
      <c r="D13" s="840"/>
      <c r="E13" s="836"/>
      <c r="F13" s="835"/>
      <c r="G13" s="835"/>
      <c r="H13" s="835"/>
      <c r="I13" s="835"/>
      <c r="J13" s="835"/>
      <c r="K13" s="835"/>
      <c r="L13" s="835"/>
      <c r="M13" s="835"/>
      <c r="N13" s="835"/>
    </row>
    <row r="14" spans="2:14" ht="15" customHeight="1" x14ac:dyDescent="0.2">
      <c r="B14" s="840" t="s">
        <v>226</v>
      </c>
      <c r="C14" s="840"/>
      <c r="D14" s="840"/>
      <c r="E14" s="835"/>
      <c r="F14" s="835"/>
      <c r="G14" s="835"/>
      <c r="H14" s="182" t="s">
        <v>227</v>
      </c>
      <c r="I14" s="839"/>
      <c r="J14" s="839"/>
      <c r="K14" s="839"/>
      <c r="L14" s="839"/>
      <c r="M14" s="839"/>
      <c r="N14" s="839"/>
    </row>
    <row r="15" spans="2:14" ht="15" customHeight="1" x14ac:dyDescent="0.2">
      <c r="B15" s="400"/>
      <c r="C15" s="400"/>
      <c r="D15" s="400"/>
      <c r="E15" s="403"/>
      <c r="F15" s="403"/>
      <c r="G15" s="403"/>
      <c r="H15" s="400"/>
      <c r="I15" s="404"/>
      <c r="J15" s="404"/>
      <c r="K15" s="404"/>
      <c r="L15" s="404"/>
      <c r="M15" s="404"/>
      <c r="N15" s="493"/>
    </row>
    <row r="16" spans="2:14" ht="15" customHeight="1" x14ac:dyDescent="0.2">
      <c r="B16" s="738" t="s">
        <v>470</v>
      </c>
      <c r="C16" s="738"/>
      <c r="D16" s="738"/>
      <c r="E16" s="738"/>
      <c r="F16" s="738"/>
      <c r="G16" s="738"/>
      <c r="H16" s="738"/>
      <c r="I16" s="738"/>
      <c r="J16" s="738"/>
      <c r="K16" s="738"/>
      <c r="L16" s="738"/>
      <c r="M16" s="738"/>
      <c r="N16" s="496"/>
    </row>
    <row r="17" spans="2:14" ht="15" customHeight="1" x14ac:dyDescent="0.2">
      <c r="B17" s="826" t="str">
        <f>IF(N16="No","Registration as a P.Eng in BC is required for subsequent assessment or study.","")</f>
        <v/>
      </c>
      <c r="C17" s="826"/>
      <c r="D17" s="826"/>
      <c r="E17" s="826"/>
      <c r="F17" s="826"/>
      <c r="G17" s="826"/>
      <c r="H17" s="826"/>
      <c r="I17" s="826"/>
      <c r="J17" s="826"/>
      <c r="K17" s="826"/>
      <c r="L17" s="826"/>
      <c r="M17" s="826"/>
      <c r="N17" s="826"/>
    </row>
    <row r="18" spans="2:14" ht="15" customHeight="1" x14ac:dyDescent="0.2">
      <c r="B18" s="800" t="s">
        <v>357</v>
      </c>
      <c r="C18" s="800"/>
      <c r="D18" s="800"/>
      <c r="E18" s="800"/>
      <c r="F18" s="800"/>
      <c r="G18" s="800"/>
      <c r="H18" s="800"/>
      <c r="I18" s="800"/>
      <c r="J18" s="800"/>
      <c r="K18" s="800"/>
      <c r="L18" s="800"/>
      <c r="M18" s="800"/>
      <c r="N18" s="496"/>
    </row>
    <row r="19" spans="2:14" ht="15" customHeight="1" x14ac:dyDescent="0.2">
      <c r="B19" s="837" t="str">
        <f>IF(N18="No","Registration as an Alliance member is required and fulfills part of BC Hydro's due diligence needs.","")</f>
        <v/>
      </c>
      <c r="C19" s="837"/>
      <c r="D19" s="837"/>
      <c r="E19" s="837"/>
      <c r="F19" s="837"/>
      <c r="G19" s="837"/>
      <c r="H19" s="837"/>
      <c r="I19" s="837"/>
      <c r="J19" s="837"/>
      <c r="K19" s="837"/>
      <c r="L19" s="837"/>
      <c r="M19" s="837"/>
      <c r="N19" s="837"/>
    </row>
    <row r="20" spans="2:14" ht="15" customHeight="1" x14ac:dyDescent="0.2">
      <c r="B20" s="801" t="s">
        <v>811</v>
      </c>
      <c r="C20" s="801"/>
      <c r="D20" s="801"/>
      <c r="E20" s="801"/>
      <c r="F20" s="801"/>
      <c r="G20" s="801"/>
      <c r="H20" s="801"/>
      <c r="I20" s="801"/>
      <c r="J20" s="801"/>
      <c r="K20" s="801"/>
      <c r="L20" s="801"/>
      <c r="M20" s="801"/>
      <c r="N20" s="496"/>
    </row>
    <row r="21" spans="2:14" ht="15" customHeight="1" x14ac:dyDescent="0.2">
      <c r="B21" s="826" t="str">
        <f>IF(N20="No","Please contact BC Hydro CEM Engineering or Alliance regarding guidelines","")</f>
        <v/>
      </c>
      <c r="C21" s="826"/>
      <c r="D21" s="826"/>
      <c r="E21" s="826"/>
      <c r="F21" s="826"/>
      <c r="G21" s="826"/>
      <c r="H21" s="826"/>
      <c r="I21" s="826"/>
      <c r="J21" s="826"/>
      <c r="K21" s="826"/>
      <c r="L21" s="826"/>
      <c r="M21" s="826"/>
      <c r="N21" s="826"/>
    </row>
    <row r="22" spans="2:14" ht="15" customHeight="1" x14ac:dyDescent="0.2">
      <c r="B22" s="173" t="s">
        <v>352</v>
      </c>
      <c r="C22" s="173"/>
      <c r="D22" s="173"/>
      <c r="E22" s="173"/>
      <c r="F22" s="173"/>
      <c r="G22" s="173"/>
      <c r="H22" s="173"/>
      <c r="I22" s="173"/>
      <c r="J22" s="173"/>
      <c r="K22" s="173"/>
      <c r="L22" s="173"/>
      <c r="M22" s="165"/>
      <c r="N22" s="496"/>
    </row>
    <row r="23" spans="2:14" ht="15" customHeight="1" x14ac:dyDescent="0.2">
      <c r="B23" s="166"/>
      <c r="C23" s="166"/>
      <c r="D23" s="166"/>
      <c r="E23" s="166"/>
      <c r="F23" s="166"/>
      <c r="G23" s="166"/>
      <c r="H23" s="166"/>
      <c r="I23" s="166"/>
      <c r="J23" s="166"/>
      <c r="K23" s="166"/>
      <c r="L23" s="166"/>
      <c r="M23" s="165"/>
      <c r="N23" s="192"/>
    </row>
    <row r="24" spans="2:14" ht="15" customHeight="1" x14ac:dyDescent="0.2">
      <c r="B24" s="178" t="s">
        <v>771</v>
      </c>
      <c r="C24" s="166"/>
      <c r="D24" s="166"/>
      <c r="E24" s="166"/>
      <c r="F24" s="166"/>
      <c r="G24" s="166"/>
      <c r="H24" s="166"/>
      <c r="I24" s="166"/>
      <c r="J24" s="166"/>
      <c r="K24" s="841"/>
      <c r="L24" s="841"/>
      <c r="M24" s="841"/>
      <c r="N24" s="841"/>
    </row>
    <row r="25" spans="2:14" ht="15" customHeight="1" x14ac:dyDescent="0.2">
      <c r="B25" s="826" t="str">
        <f>IF(N22="No","Consultation is recommended during preparation of this proposal","")</f>
        <v/>
      </c>
      <c r="C25" s="826"/>
      <c r="D25" s="826"/>
      <c r="E25" s="826"/>
      <c r="F25" s="826"/>
      <c r="G25" s="826"/>
      <c r="H25" s="826"/>
      <c r="I25" s="826"/>
      <c r="J25" s="826"/>
      <c r="K25" s="826"/>
      <c r="L25" s="826"/>
      <c r="M25" s="826"/>
      <c r="N25" s="826"/>
    </row>
    <row r="26" spans="2:14" ht="15" customHeight="1" x14ac:dyDescent="0.2">
      <c r="B26" s="847" t="s">
        <v>309</v>
      </c>
      <c r="C26" s="847"/>
      <c r="D26" s="847"/>
      <c r="E26" s="847"/>
      <c r="F26" s="847"/>
      <c r="G26" s="847"/>
      <c r="H26" s="847"/>
      <c r="I26" s="193"/>
      <c r="J26" s="178"/>
      <c r="K26" s="182" t="s">
        <v>310</v>
      </c>
      <c r="L26" s="848"/>
      <c r="M26" s="848"/>
      <c r="N26" s="848"/>
    </row>
    <row r="27" spans="2:14" ht="15" customHeight="1" x14ac:dyDescent="0.2">
      <c r="B27" s="193"/>
      <c r="C27" s="193"/>
      <c r="D27" s="193"/>
      <c r="E27" s="193"/>
      <c r="F27" s="193"/>
      <c r="G27" s="193"/>
      <c r="H27" s="193"/>
      <c r="I27" s="193"/>
      <c r="J27" s="178"/>
      <c r="K27" s="182"/>
      <c r="L27" s="194"/>
      <c r="M27" s="194"/>
      <c r="N27" s="194"/>
    </row>
    <row r="28" spans="2:14" ht="22.5" customHeight="1" x14ac:dyDescent="0.2">
      <c r="B28" s="833" t="s">
        <v>677</v>
      </c>
      <c r="C28" s="833"/>
      <c r="D28" s="834"/>
      <c r="E28" s="834"/>
      <c r="F28" s="834"/>
      <c r="G28" s="834"/>
      <c r="H28" s="834"/>
      <c r="I28" s="834"/>
      <c r="J28" s="834"/>
      <c r="K28" s="834"/>
      <c r="L28" s="834"/>
      <c r="M28" s="834"/>
      <c r="N28" s="834"/>
    </row>
    <row r="29" spans="2:14" s="130" customFormat="1" ht="15" customHeight="1" x14ac:dyDescent="0.2">
      <c r="B29" s="815" t="s">
        <v>678</v>
      </c>
      <c r="C29" s="815"/>
      <c r="D29" s="815"/>
      <c r="E29" s="815"/>
      <c r="F29" s="815"/>
      <c r="G29" s="815"/>
      <c r="H29" s="815"/>
      <c r="I29" s="815"/>
      <c r="J29" s="815"/>
      <c r="K29" s="815"/>
      <c r="L29" s="815"/>
      <c r="M29" s="815"/>
    </row>
    <row r="30" spans="2:14" ht="15" customHeight="1" x14ac:dyDescent="0.2">
      <c r="B30" s="843" t="s">
        <v>364</v>
      </c>
      <c r="C30" s="843"/>
      <c r="D30" s="843"/>
      <c r="E30" s="843"/>
      <c r="F30" s="843"/>
      <c r="G30" s="843"/>
      <c r="H30" s="843"/>
      <c r="I30" s="843"/>
      <c r="J30" s="843"/>
      <c r="K30" s="843"/>
      <c r="L30" s="843"/>
      <c r="M30" s="843"/>
      <c r="N30" s="843"/>
    </row>
    <row r="31" spans="2:14" ht="15" customHeight="1" x14ac:dyDescent="0.2">
      <c r="B31" s="195" t="s">
        <v>365</v>
      </c>
      <c r="C31" s="196"/>
      <c r="D31" s="196"/>
      <c r="E31" s="196"/>
      <c r="F31" s="196"/>
      <c r="G31" s="196"/>
      <c r="H31" s="196"/>
      <c r="I31" s="196"/>
      <c r="J31" s="196"/>
      <c r="K31" s="196"/>
      <c r="L31" s="196"/>
      <c r="M31" s="196"/>
      <c r="N31" s="196"/>
    </row>
    <row r="32" spans="2:14" ht="15" customHeight="1" x14ac:dyDescent="0.2">
      <c r="B32" s="842"/>
      <c r="C32" s="842"/>
      <c r="D32" s="842"/>
      <c r="E32" s="842"/>
      <c r="F32" s="842"/>
      <c r="G32" s="842"/>
      <c r="H32" s="842"/>
      <c r="I32" s="842"/>
      <c r="J32" s="842"/>
      <c r="K32" s="842"/>
      <c r="L32" s="842"/>
      <c r="M32" s="842"/>
      <c r="N32" s="842"/>
    </row>
    <row r="33" spans="2:14" ht="15" customHeight="1" x14ac:dyDescent="0.2">
      <c r="B33" s="842"/>
      <c r="C33" s="842"/>
      <c r="D33" s="842"/>
      <c r="E33" s="842"/>
      <c r="F33" s="842"/>
      <c r="G33" s="842"/>
      <c r="H33" s="842"/>
      <c r="I33" s="842"/>
      <c r="J33" s="842"/>
      <c r="K33" s="842"/>
      <c r="L33" s="842"/>
      <c r="M33" s="842"/>
      <c r="N33" s="842"/>
    </row>
    <row r="34" spans="2:14" ht="15" customHeight="1" x14ac:dyDescent="0.2">
      <c r="B34" s="842"/>
      <c r="C34" s="842"/>
      <c r="D34" s="842"/>
      <c r="E34" s="842"/>
      <c r="F34" s="842"/>
      <c r="G34" s="842"/>
      <c r="H34" s="842"/>
      <c r="I34" s="842"/>
      <c r="J34" s="842"/>
      <c r="K34" s="842"/>
      <c r="L34" s="842"/>
      <c r="M34" s="842"/>
      <c r="N34" s="842"/>
    </row>
    <row r="35" spans="2:14" ht="15" customHeight="1" x14ac:dyDescent="0.2">
      <c r="B35" s="842"/>
      <c r="C35" s="842"/>
      <c r="D35" s="842"/>
      <c r="E35" s="842"/>
      <c r="F35" s="842"/>
      <c r="G35" s="842"/>
      <c r="H35" s="842"/>
      <c r="I35" s="842"/>
      <c r="J35" s="842"/>
      <c r="K35" s="842"/>
      <c r="L35" s="842"/>
      <c r="M35" s="842"/>
      <c r="N35" s="842"/>
    </row>
    <row r="36" spans="2:14" ht="15" customHeight="1" x14ac:dyDescent="0.2">
      <c r="B36" s="185"/>
      <c r="C36" s="185"/>
      <c r="D36" s="185"/>
      <c r="E36" s="185"/>
      <c r="F36" s="185"/>
      <c r="G36" s="185"/>
      <c r="H36" s="185"/>
      <c r="I36" s="185"/>
      <c r="J36" s="185"/>
      <c r="K36" s="185"/>
      <c r="L36" s="185"/>
      <c r="M36" s="185"/>
      <c r="N36" s="185"/>
    </row>
    <row r="37" spans="2:14" s="130" customFormat="1" ht="15" customHeight="1" x14ac:dyDescent="0.2">
      <c r="B37" s="815" t="s">
        <v>679</v>
      </c>
      <c r="C37" s="815"/>
      <c r="D37" s="815"/>
      <c r="E37" s="815"/>
      <c r="F37" s="815"/>
      <c r="G37" s="815"/>
      <c r="H37" s="815"/>
      <c r="I37" s="815"/>
      <c r="J37" s="815"/>
      <c r="K37" s="815"/>
      <c r="L37" s="815"/>
      <c r="M37" s="815"/>
    </row>
    <row r="38" spans="2:14" ht="15" customHeight="1" x14ac:dyDescent="0.2">
      <c r="B38" s="844" t="s">
        <v>867</v>
      </c>
      <c r="C38" s="844"/>
      <c r="D38" s="844"/>
      <c r="E38" s="844"/>
      <c r="F38" s="844"/>
      <c r="G38" s="844"/>
      <c r="H38" s="844"/>
      <c r="I38" s="844"/>
      <c r="J38" s="844"/>
      <c r="K38" s="844"/>
      <c r="L38" s="844"/>
      <c r="M38" s="844"/>
      <c r="N38" s="844"/>
    </row>
    <row r="39" spans="2:14" ht="15" customHeight="1" x14ac:dyDescent="0.2">
      <c r="B39" s="844"/>
      <c r="C39" s="844"/>
      <c r="D39" s="844"/>
      <c r="E39" s="844"/>
      <c r="F39" s="844"/>
      <c r="G39" s="844"/>
      <c r="H39" s="844"/>
      <c r="I39" s="844"/>
      <c r="J39" s="844"/>
      <c r="K39" s="844"/>
      <c r="L39" s="844"/>
      <c r="M39" s="844"/>
      <c r="N39" s="844"/>
    </row>
    <row r="40" spans="2:14" ht="15" customHeight="1" x14ac:dyDescent="0.2">
      <c r="B40" s="844"/>
      <c r="C40" s="844"/>
      <c r="D40" s="844"/>
      <c r="E40" s="844"/>
      <c r="F40" s="844"/>
      <c r="G40" s="844"/>
      <c r="H40" s="844"/>
      <c r="I40" s="844"/>
      <c r="J40" s="844"/>
      <c r="K40" s="844"/>
      <c r="L40" s="844"/>
      <c r="M40" s="844"/>
      <c r="N40" s="844"/>
    </row>
    <row r="41" spans="2:14" ht="15" customHeight="1" x14ac:dyDescent="0.2">
      <c r="B41" s="195" t="s">
        <v>868</v>
      </c>
      <c r="C41" s="196"/>
      <c r="D41" s="196"/>
      <c r="E41" s="196"/>
      <c r="F41" s="196"/>
      <c r="G41" s="196"/>
      <c r="H41" s="196"/>
      <c r="I41" s="196"/>
      <c r="J41" s="196"/>
      <c r="K41" s="196"/>
      <c r="L41" s="196"/>
      <c r="M41" s="196"/>
      <c r="N41" s="196"/>
    </row>
    <row r="42" spans="2:14" ht="15" customHeight="1" x14ac:dyDescent="0.2">
      <c r="B42" s="842"/>
      <c r="C42" s="842"/>
      <c r="D42" s="842"/>
      <c r="E42" s="842"/>
      <c r="F42" s="842"/>
      <c r="G42" s="842"/>
      <c r="H42" s="842"/>
      <c r="I42" s="842"/>
      <c r="J42" s="842"/>
      <c r="K42" s="842"/>
      <c r="L42" s="842"/>
      <c r="M42" s="842"/>
      <c r="N42" s="842"/>
    </row>
    <row r="43" spans="2:14" ht="15" customHeight="1" x14ac:dyDescent="0.2">
      <c r="B43" s="842"/>
      <c r="C43" s="842"/>
      <c r="D43" s="842"/>
      <c r="E43" s="842"/>
      <c r="F43" s="842"/>
      <c r="G43" s="842"/>
      <c r="H43" s="842"/>
      <c r="I43" s="842"/>
      <c r="J43" s="842"/>
      <c r="K43" s="842"/>
      <c r="L43" s="842"/>
      <c r="M43" s="842"/>
      <c r="N43" s="842"/>
    </row>
    <row r="44" spans="2:14" ht="15" customHeight="1" x14ac:dyDescent="0.2">
      <c r="B44" s="842"/>
      <c r="C44" s="842"/>
      <c r="D44" s="842"/>
      <c r="E44" s="842"/>
      <c r="F44" s="842"/>
      <c r="G44" s="842"/>
      <c r="H44" s="842"/>
      <c r="I44" s="842"/>
      <c r="J44" s="842"/>
      <c r="K44" s="842"/>
      <c r="L44" s="842"/>
      <c r="M44" s="842"/>
      <c r="N44" s="842"/>
    </row>
    <row r="45" spans="2:14" ht="15" customHeight="1" x14ac:dyDescent="0.2">
      <c r="B45" s="842"/>
      <c r="C45" s="842"/>
      <c r="D45" s="842"/>
      <c r="E45" s="842"/>
      <c r="F45" s="842"/>
      <c r="G45" s="842"/>
      <c r="H45" s="842"/>
      <c r="I45" s="842"/>
      <c r="J45" s="842"/>
      <c r="K45" s="842"/>
      <c r="L45" s="842"/>
      <c r="M45" s="842"/>
      <c r="N45" s="842"/>
    </row>
    <row r="46" spans="2:14" ht="15" customHeight="1" x14ac:dyDescent="0.2">
      <c r="B46" s="185"/>
      <c r="C46" s="185"/>
      <c r="D46" s="185"/>
      <c r="E46" s="185"/>
      <c r="F46" s="185"/>
      <c r="G46" s="185"/>
      <c r="H46" s="185"/>
      <c r="I46" s="185"/>
      <c r="J46" s="185"/>
      <c r="K46" s="185"/>
      <c r="L46" s="185"/>
      <c r="M46" s="185"/>
      <c r="N46" s="185"/>
    </row>
    <row r="47" spans="2:14" s="130" customFormat="1" ht="15" customHeight="1" x14ac:dyDescent="0.2">
      <c r="B47" s="815" t="s">
        <v>680</v>
      </c>
      <c r="C47" s="815"/>
      <c r="D47" s="815"/>
      <c r="E47" s="815"/>
      <c r="F47" s="815"/>
      <c r="G47" s="815"/>
      <c r="H47" s="815"/>
      <c r="I47" s="815"/>
      <c r="J47" s="815"/>
      <c r="K47" s="815"/>
      <c r="L47" s="815"/>
      <c r="M47" s="815"/>
    </row>
    <row r="48" spans="2:14" ht="15" customHeight="1" x14ac:dyDescent="0.2">
      <c r="B48" s="845" t="s">
        <v>457</v>
      </c>
      <c r="C48" s="845"/>
      <c r="D48" s="845"/>
      <c r="E48" s="845"/>
      <c r="F48" s="845"/>
      <c r="G48" s="845"/>
      <c r="H48" s="845"/>
      <c r="I48" s="845"/>
      <c r="J48" s="845"/>
      <c r="K48" s="845"/>
      <c r="L48" s="845"/>
      <c r="M48" s="845"/>
      <c r="N48" s="845"/>
    </row>
    <row r="49" spans="2:14" ht="15" customHeight="1" x14ac:dyDescent="0.2">
      <c r="B49" s="846"/>
      <c r="C49" s="846"/>
      <c r="D49" s="846"/>
      <c r="E49" s="846"/>
      <c r="F49" s="846"/>
      <c r="G49" s="846"/>
      <c r="H49" s="846"/>
      <c r="I49" s="846"/>
      <c r="J49" s="846"/>
      <c r="K49" s="846"/>
      <c r="L49" s="846"/>
      <c r="M49" s="846"/>
      <c r="N49" s="846"/>
    </row>
    <row r="50" spans="2:14" ht="15" customHeight="1" x14ac:dyDescent="0.2">
      <c r="B50" s="842"/>
      <c r="C50" s="842"/>
      <c r="D50" s="842"/>
      <c r="E50" s="842"/>
      <c r="F50" s="842"/>
      <c r="G50" s="842"/>
      <c r="H50" s="842"/>
      <c r="I50" s="842"/>
      <c r="J50" s="842"/>
      <c r="K50" s="842"/>
      <c r="L50" s="842"/>
      <c r="M50" s="842"/>
      <c r="N50" s="842"/>
    </row>
    <row r="51" spans="2:14" ht="15" customHeight="1" x14ac:dyDescent="0.2">
      <c r="B51" s="842"/>
      <c r="C51" s="842"/>
      <c r="D51" s="842"/>
      <c r="E51" s="842"/>
      <c r="F51" s="842"/>
      <c r="G51" s="842"/>
      <c r="H51" s="842"/>
      <c r="I51" s="842"/>
      <c r="J51" s="842"/>
      <c r="K51" s="842"/>
      <c r="L51" s="842"/>
      <c r="M51" s="842"/>
      <c r="N51" s="842"/>
    </row>
    <row r="52" spans="2:14" ht="15" customHeight="1" x14ac:dyDescent="0.2">
      <c r="B52" s="842"/>
      <c r="C52" s="842"/>
      <c r="D52" s="842"/>
      <c r="E52" s="842"/>
      <c r="F52" s="842"/>
      <c r="G52" s="842"/>
      <c r="H52" s="842"/>
      <c r="I52" s="842"/>
      <c r="J52" s="842"/>
      <c r="K52" s="842"/>
      <c r="L52" s="842"/>
      <c r="M52" s="842"/>
      <c r="N52" s="842"/>
    </row>
    <row r="53" spans="2:14" ht="15" customHeight="1" x14ac:dyDescent="0.2">
      <c r="B53" s="842"/>
      <c r="C53" s="842"/>
      <c r="D53" s="842"/>
      <c r="E53" s="842"/>
      <c r="F53" s="842"/>
      <c r="G53" s="842"/>
      <c r="H53" s="842"/>
      <c r="I53" s="842"/>
      <c r="J53" s="842"/>
      <c r="K53" s="842"/>
      <c r="L53" s="842"/>
      <c r="M53" s="842"/>
      <c r="N53" s="842"/>
    </row>
    <row r="54" spans="2:14" ht="15" customHeight="1" x14ac:dyDescent="0.2">
      <c r="B54" s="185"/>
      <c r="C54" s="185"/>
      <c r="D54" s="185"/>
      <c r="E54" s="185"/>
      <c r="F54" s="185"/>
      <c r="G54" s="185"/>
      <c r="H54" s="185"/>
      <c r="I54" s="185"/>
      <c r="J54" s="185"/>
      <c r="K54" s="185"/>
      <c r="L54" s="185"/>
      <c r="M54" s="185"/>
      <c r="N54" s="185"/>
    </row>
    <row r="55" spans="2:14" s="130" customFormat="1" ht="15" customHeight="1" x14ac:dyDescent="0.2">
      <c r="B55" s="815" t="s">
        <v>697</v>
      </c>
      <c r="C55" s="815"/>
      <c r="D55" s="815"/>
      <c r="E55" s="815"/>
      <c r="F55" s="815"/>
      <c r="G55" s="815"/>
      <c r="H55" s="815"/>
      <c r="I55" s="815"/>
      <c r="J55" s="815"/>
      <c r="K55" s="815"/>
      <c r="L55" s="815"/>
      <c r="M55" s="815"/>
    </row>
    <row r="56" spans="2:14" ht="15" customHeight="1" x14ac:dyDescent="0.2">
      <c r="B56" s="738" t="s">
        <v>366</v>
      </c>
      <c r="C56" s="738"/>
      <c r="D56" s="738"/>
      <c r="E56" s="738"/>
      <c r="F56" s="738"/>
      <c r="G56" s="738"/>
      <c r="H56" s="738"/>
      <c r="I56" s="738"/>
      <c r="J56" s="738"/>
      <c r="K56" s="738"/>
      <c r="L56" s="738"/>
      <c r="M56" s="738"/>
      <c r="N56" s="738"/>
    </row>
    <row r="57" spans="2:14" ht="15" customHeight="1" x14ac:dyDescent="0.2">
      <c r="B57" s="852"/>
      <c r="C57" s="852"/>
      <c r="D57" s="852"/>
      <c r="E57" s="852"/>
      <c r="F57" s="852"/>
      <c r="G57" s="852"/>
      <c r="H57" s="852"/>
      <c r="I57" s="852"/>
      <c r="J57" s="852"/>
      <c r="K57" s="852"/>
      <c r="L57" s="852"/>
      <c r="M57" s="852"/>
      <c r="N57" s="852"/>
    </row>
    <row r="58" spans="2:14" ht="15" customHeight="1" x14ac:dyDescent="0.2">
      <c r="B58" s="852"/>
      <c r="C58" s="852"/>
      <c r="D58" s="852"/>
      <c r="E58" s="852"/>
      <c r="F58" s="852"/>
      <c r="G58" s="852"/>
      <c r="H58" s="852"/>
      <c r="I58" s="852"/>
      <c r="J58" s="852"/>
      <c r="K58" s="852"/>
      <c r="L58" s="852"/>
      <c r="M58" s="852"/>
      <c r="N58" s="852"/>
    </row>
    <row r="59" spans="2:14" ht="15" customHeight="1" x14ac:dyDescent="0.2">
      <c r="B59" s="852"/>
      <c r="C59" s="852"/>
      <c r="D59" s="852"/>
      <c r="E59" s="852"/>
      <c r="F59" s="852"/>
      <c r="G59" s="852"/>
      <c r="H59" s="852"/>
      <c r="I59" s="852"/>
      <c r="J59" s="852"/>
      <c r="K59" s="852"/>
      <c r="L59" s="852"/>
      <c r="M59" s="852"/>
      <c r="N59" s="852"/>
    </row>
    <row r="60" spans="2:14" ht="15" customHeight="1" x14ac:dyDescent="0.2">
      <c r="B60" s="852"/>
      <c r="C60" s="852"/>
      <c r="D60" s="852"/>
      <c r="E60" s="852"/>
      <c r="F60" s="852"/>
      <c r="G60" s="852"/>
      <c r="H60" s="852"/>
      <c r="I60" s="852"/>
      <c r="J60" s="852"/>
      <c r="K60" s="852"/>
      <c r="L60" s="852"/>
      <c r="M60" s="852"/>
      <c r="N60" s="852"/>
    </row>
    <row r="61" spans="2:14" ht="15" customHeight="1" x14ac:dyDescent="0.2">
      <c r="B61" s="188"/>
      <c r="C61" s="188"/>
      <c r="D61" s="188"/>
      <c r="E61" s="188"/>
      <c r="F61" s="188"/>
      <c r="G61" s="188"/>
      <c r="H61" s="188"/>
      <c r="I61" s="188"/>
      <c r="J61" s="188"/>
      <c r="K61" s="188"/>
      <c r="L61" s="188"/>
      <c r="M61" s="188"/>
      <c r="N61" s="188"/>
    </row>
    <row r="62" spans="2:14" ht="22.5" customHeight="1" x14ac:dyDescent="0.2">
      <c r="B62" s="833" t="s">
        <v>681</v>
      </c>
      <c r="C62" s="833"/>
      <c r="D62" s="834"/>
      <c r="E62" s="834"/>
      <c r="F62" s="834"/>
      <c r="G62" s="834"/>
      <c r="H62" s="834"/>
      <c r="I62" s="834"/>
      <c r="J62" s="834"/>
      <c r="K62" s="834"/>
      <c r="L62" s="834"/>
      <c r="M62" s="834"/>
      <c r="N62" s="834"/>
    </row>
    <row r="63" spans="2:14" ht="22.5" customHeight="1" x14ac:dyDescent="0.2">
      <c r="B63" s="849" t="s">
        <v>869</v>
      </c>
      <c r="C63" s="849"/>
      <c r="D63" s="849"/>
      <c r="E63" s="849"/>
      <c r="F63" s="849"/>
      <c r="G63" s="849"/>
      <c r="H63" s="849"/>
      <c r="I63" s="849"/>
      <c r="J63" s="849"/>
      <c r="K63" s="849"/>
      <c r="L63" s="849"/>
      <c r="M63" s="849"/>
      <c r="N63" s="849"/>
    </row>
    <row r="64" spans="2:14" ht="15" customHeight="1" x14ac:dyDescent="0.2">
      <c r="B64" s="850"/>
      <c r="C64" s="850"/>
      <c r="D64" s="850"/>
      <c r="E64" s="850"/>
      <c r="F64" s="850"/>
      <c r="G64" s="850"/>
      <c r="H64" s="850"/>
      <c r="I64" s="850"/>
      <c r="J64" s="850"/>
      <c r="K64" s="850"/>
      <c r="L64" s="850"/>
      <c r="M64" s="850"/>
      <c r="N64" s="850"/>
    </row>
    <row r="65" spans="2:14" ht="15" customHeight="1" x14ac:dyDescent="0.2">
      <c r="B65" s="851" t="s">
        <v>311</v>
      </c>
      <c r="C65" s="851"/>
      <c r="D65" s="851"/>
      <c r="E65" s="851" t="s">
        <v>354</v>
      </c>
      <c r="F65" s="851"/>
      <c r="G65" s="851"/>
      <c r="H65" s="851"/>
      <c r="I65" s="851" t="s">
        <v>362</v>
      </c>
      <c r="J65" s="851"/>
      <c r="K65" s="851"/>
      <c r="L65" s="851" t="s">
        <v>312</v>
      </c>
      <c r="M65" s="851"/>
      <c r="N65" s="851"/>
    </row>
    <row r="66" spans="2:14" ht="15" customHeight="1" x14ac:dyDescent="0.2">
      <c r="B66" s="814"/>
      <c r="C66" s="814"/>
      <c r="D66" s="814"/>
      <c r="E66" s="814"/>
      <c r="F66" s="814"/>
      <c r="G66" s="814"/>
      <c r="H66" s="814"/>
      <c r="I66" s="814"/>
      <c r="J66" s="814"/>
      <c r="K66" s="814"/>
      <c r="L66" s="814"/>
      <c r="M66" s="814"/>
      <c r="N66" s="814"/>
    </row>
    <row r="67" spans="2:14" ht="15" customHeight="1" x14ac:dyDescent="0.2">
      <c r="B67" s="814"/>
      <c r="C67" s="814"/>
      <c r="D67" s="814"/>
      <c r="E67" s="814"/>
      <c r="F67" s="814"/>
      <c r="G67" s="814"/>
      <c r="H67" s="814"/>
      <c r="I67" s="814"/>
      <c r="J67" s="814"/>
      <c r="K67" s="814"/>
      <c r="L67" s="814"/>
      <c r="M67" s="814"/>
      <c r="N67" s="814"/>
    </row>
    <row r="68" spans="2:14" ht="15" customHeight="1" x14ac:dyDescent="0.2">
      <c r="B68" s="814"/>
      <c r="C68" s="814"/>
      <c r="D68" s="814"/>
      <c r="E68" s="814"/>
      <c r="F68" s="814"/>
      <c r="G68" s="814"/>
      <c r="H68" s="814"/>
      <c r="I68" s="814"/>
      <c r="J68" s="814"/>
      <c r="K68" s="814"/>
      <c r="L68" s="814"/>
      <c r="M68" s="814"/>
      <c r="N68" s="814"/>
    </row>
    <row r="69" spans="2:14" ht="15" customHeight="1" x14ac:dyDescent="0.2">
      <c r="B69" s="814"/>
      <c r="C69" s="814"/>
      <c r="D69" s="814"/>
      <c r="E69" s="814"/>
      <c r="F69" s="814"/>
      <c r="G69" s="814"/>
      <c r="H69" s="814"/>
      <c r="I69" s="814"/>
      <c r="J69" s="814"/>
      <c r="K69" s="814"/>
      <c r="L69" s="814"/>
      <c r="M69" s="814"/>
      <c r="N69" s="814"/>
    </row>
    <row r="70" spans="2:14" ht="15" customHeight="1" x14ac:dyDescent="0.2">
      <c r="B70" s="814"/>
      <c r="C70" s="814"/>
      <c r="D70" s="814"/>
      <c r="E70" s="814"/>
      <c r="F70" s="814"/>
      <c r="G70" s="814"/>
      <c r="H70" s="814"/>
      <c r="I70" s="814"/>
      <c r="J70" s="814"/>
      <c r="K70" s="814"/>
      <c r="L70" s="814"/>
      <c r="M70" s="814"/>
      <c r="N70" s="814"/>
    </row>
    <row r="71" spans="2:14" ht="15" customHeight="1" x14ac:dyDescent="0.2">
      <c r="B71" s="814"/>
      <c r="C71" s="814"/>
      <c r="D71" s="814"/>
      <c r="E71" s="814"/>
      <c r="F71" s="814"/>
      <c r="G71" s="814"/>
      <c r="H71" s="814"/>
      <c r="I71" s="814"/>
      <c r="J71" s="814"/>
      <c r="K71" s="814"/>
      <c r="L71" s="814"/>
      <c r="M71" s="814"/>
      <c r="N71" s="814"/>
    </row>
    <row r="72" spans="2:14" ht="15" customHeight="1" x14ac:dyDescent="0.2">
      <c r="B72" s="814"/>
      <c r="C72" s="814"/>
      <c r="D72" s="814"/>
      <c r="E72" s="814"/>
      <c r="F72" s="814"/>
      <c r="G72" s="814"/>
      <c r="H72" s="814"/>
      <c r="I72" s="814"/>
      <c r="J72" s="814"/>
      <c r="K72" s="814"/>
      <c r="L72" s="814"/>
      <c r="M72" s="814"/>
      <c r="N72" s="814"/>
    </row>
    <row r="73" spans="2:14" ht="15" customHeight="1" x14ac:dyDescent="0.2">
      <c r="B73" s="814"/>
      <c r="C73" s="814"/>
      <c r="D73" s="814"/>
      <c r="E73" s="814"/>
      <c r="F73" s="814"/>
      <c r="G73" s="814"/>
      <c r="H73" s="814"/>
      <c r="I73" s="814"/>
      <c r="J73" s="814"/>
      <c r="K73" s="814"/>
      <c r="L73" s="814"/>
      <c r="M73" s="814"/>
      <c r="N73" s="814"/>
    </row>
    <row r="74" spans="2:14" ht="15" customHeight="1" x14ac:dyDescent="0.2">
      <c r="B74" s="814"/>
      <c r="C74" s="814"/>
      <c r="D74" s="814"/>
      <c r="E74" s="814"/>
      <c r="F74" s="814"/>
      <c r="G74" s="814"/>
      <c r="H74" s="814"/>
      <c r="I74" s="814"/>
      <c r="J74" s="814"/>
      <c r="K74" s="814"/>
      <c r="L74" s="814"/>
      <c r="M74" s="814"/>
      <c r="N74" s="814"/>
    </row>
    <row r="75" spans="2:14" ht="15" customHeight="1" x14ac:dyDescent="0.2">
      <c r="B75" s="814"/>
      <c r="C75" s="814"/>
      <c r="D75" s="814"/>
      <c r="E75" s="814"/>
      <c r="F75" s="814"/>
      <c r="G75" s="814"/>
      <c r="H75" s="814"/>
      <c r="I75" s="814"/>
      <c r="J75" s="814"/>
      <c r="K75" s="814"/>
      <c r="L75" s="814"/>
      <c r="M75" s="814"/>
      <c r="N75" s="814"/>
    </row>
    <row r="76" spans="2:14" ht="15" customHeight="1" x14ac:dyDescent="0.2">
      <c r="B76" s="191"/>
      <c r="C76" s="191"/>
      <c r="D76" s="191"/>
      <c r="E76" s="191"/>
      <c r="F76" s="191"/>
      <c r="G76" s="191"/>
      <c r="H76" s="191"/>
      <c r="I76" s="191"/>
      <c r="J76" s="191"/>
      <c r="K76" s="191"/>
      <c r="L76" s="191"/>
      <c r="M76" s="191"/>
      <c r="N76" s="191"/>
    </row>
    <row r="77" spans="2:14" s="130" customFormat="1" ht="15" customHeight="1" x14ac:dyDescent="0.2">
      <c r="B77" s="815" t="s">
        <v>682</v>
      </c>
      <c r="C77" s="815"/>
      <c r="D77" s="815"/>
      <c r="E77" s="815"/>
      <c r="F77" s="815"/>
      <c r="G77" s="815"/>
      <c r="H77" s="815"/>
      <c r="I77" s="815"/>
      <c r="J77" s="815"/>
      <c r="K77" s="815"/>
      <c r="L77" s="815"/>
      <c r="M77" s="815"/>
    </row>
    <row r="78" spans="2:14" ht="15" customHeight="1" x14ac:dyDescent="0.2">
      <c r="B78" s="825" t="s">
        <v>447</v>
      </c>
      <c r="C78" s="825"/>
      <c r="D78" s="825"/>
      <c r="E78" s="825"/>
      <c r="F78" s="825"/>
      <c r="G78" s="825"/>
      <c r="H78" s="825"/>
      <c r="I78" s="825"/>
      <c r="J78" s="825"/>
      <c r="K78" s="825"/>
      <c r="L78" s="825"/>
      <c r="M78" s="825"/>
      <c r="N78" s="825"/>
    </row>
    <row r="79" spans="2:14" ht="15" customHeight="1" x14ac:dyDescent="0.2">
      <c r="B79" s="825" t="s">
        <v>448</v>
      </c>
      <c r="C79" s="825"/>
      <c r="D79" s="825"/>
      <c r="E79" s="825"/>
      <c r="F79" s="825"/>
      <c r="G79" s="825"/>
      <c r="H79" s="825"/>
      <c r="I79" s="825"/>
      <c r="J79" s="825"/>
      <c r="K79" s="825"/>
      <c r="L79" s="825"/>
      <c r="M79" s="825"/>
      <c r="N79" s="825"/>
    </row>
    <row r="80" spans="2:14" ht="15" customHeight="1" x14ac:dyDescent="0.2">
      <c r="B80" s="856" t="s">
        <v>311</v>
      </c>
      <c r="C80" s="856"/>
      <c r="D80" s="856"/>
      <c r="E80" s="856"/>
      <c r="F80" s="851" t="s">
        <v>449</v>
      </c>
      <c r="G80" s="851"/>
      <c r="H80" s="851" t="s">
        <v>450</v>
      </c>
      <c r="I80" s="851"/>
      <c r="J80" s="851" t="s">
        <v>451</v>
      </c>
      <c r="K80" s="851"/>
      <c r="L80" s="858" t="s">
        <v>341</v>
      </c>
      <c r="M80" s="858"/>
      <c r="N80" s="858"/>
    </row>
    <row r="81" spans="2:14" ht="15" customHeight="1" x14ac:dyDescent="0.2">
      <c r="B81" s="857"/>
      <c r="C81" s="857"/>
      <c r="D81" s="857"/>
      <c r="E81" s="857"/>
      <c r="F81" s="449" t="s">
        <v>452</v>
      </c>
      <c r="G81" s="449" t="s">
        <v>100</v>
      </c>
      <c r="H81" s="449" t="s">
        <v>452</v>
      </c>
      <c r="I81" s="449" t="s">
        <v>100</v>
      </c>
      <c r="J81" s="449" t="s">
        <v>452</v>
      </c>
      <c r="K81" s="449" t="s">
        <v>100</v>
      </c>
      <c r="L81" s="859"/>
      <c r="M81" s="859"/>
      <c r="N81" s="859"/>
    </row>
    <row r="82" spans="2:14" ht="15" customHeight="1" x14ac:dyDescent="0.2">
      <c r="B82" s="818" t="str">
        <f t="shared" ref="B82:B91" si="0">IF(B66="","",B66)</f>
        <v/>
      </c>
      <c r="C82" s="818"/>
      <c r="D82" s="818"/>
      <c r="E82" s="818"/>
      <c r="F82" s="499"/>
      <c r="G82" s="497"/>
      <c r="H82" s="497"/>
      <c r="I82" s="497"/>
      <c r="J82" s="497"/>
      <c r="K82" s="498"/>
      <c r="L82" s="817" t="str">
        <f>IF(B82="","",F82*G82+H82*I82+J82*K82)</f>
        <v/>
      </c>
      <c r="M82" s="817"/>
      <c r="N82" s="817"/>
    </row>
    <row r="83" spans="2:14" ht="15" customHeight="1" x14ac:dyDescent="0.2">
      <c r="B83" s="818" t="str">
        <f t="shared" si="0"/>
        <v/>
      </c>
      <c r="C83" s="818"/>
      <c r="D83" s="818"/>
      <c r="E83" s="818"/>
      <c r="F83" s="499"/>
      <c r="G83" s="497"/>
      <c r="H83" s="497"/>
      <c r="I83" s="497"/>
      <c r="J83" s="497"/>
      <c r="K83" s="498"/>
      <c r="L83" s="817" t="str">
        <f t="shared" ref="L83:L91" si="1">IF(B83="","",F83*G83+H83*I83+J83*K83)</f>
        <v/>
      </c>
      <c r="M83" s="817"/>
      <c r="N83" s="817"/>
    </row>
    <row r="84" spans="2:14" ht="15" customHeight="1" x14ac:dyDescent="0.2">
      <c r="B84" s="818" t="str">
        <f t="shared" si="0"/>
        <v/>
      </c>
      <c r="C84" s="818"/>
      <c r="D84" s="818"/>
      <c r="E84" s="818"/>
      <c r="F84" s="499"/>
      <c r="G84" s="497"/>
      <c r="H84" s="497"/>
      <c r="I84" s="497"/>
      <c r="J84" s="497"/>
      <c r="K84" s="498"/>
      <c r="L84" s="817" t="str">
        <f t="shared" si="1"/>
        <v/>
      </c>
      <c r="M84" s="817"/>
      <c r="N84" s="817"/>
    </row>
    <row r="85" spans="2:14" ht="15" customHeight="1" x14ac:dyDescent="0.2">
      <c r="B85" s="818" t="str">
        <f t="shared" si="0"/>
        <v/>
      </c>
      <c r="C85" s="818"/>
      <c r="D85" s="818"/>
      <c r="E85" s="818"/>
      <c r="F85" s="499"/>
      <c r="G85" s="497"/>
      <c r="H85" s="497"/>
      <c r="I85" s="497"/>
      <c r="J85" s="497"/>
      <c r="K85" s="498"/>
      <c r="L85" s="817" t="str">
        <f t="shared" si="1"/>
        <v/>
      </c>
      <c r="M85" s="817"/>
      <c r="N85" s="817"/>
    </row>
    <row r="86" spans="2:14" ht="15" customHeight="1" x14ac:dyDescent="0.2">
      <c r="B86" s="818" t="str">
        <f t="shared" si="0"/>
        <v/>
      </c>
      <c r="C86" s="818"/>
      <c r="D86" s="818"/>
      <c r="E86" s="818"/>
      <c r="F86" s="499"/>
      <c r="G86" s="497"/>
      <c r="H86" s="497"/>
      <c r="I86" s="497"/>
      <c r="J86" s="497"/>
      <c r="K86" s="498"/>
      <c r="L86" s="817" t="str">
        <f t="shared" si="1"/>
        <v/>
      </c>
      <c r="M86" s="817"/>
      <c r="N86" s="817"/>
    </row>
    <row r="87" spans="2:14" ht="15" customHeight="1" x14ac:dyDescent="0.2">
      <c r="B87" s="818" t="str">
        <f t="shared" si="0"/>
        <v/>
      </c>
      <c r="C87" s="818"/>
      <c r="D87" s="818"/>
      <c r="E87" s="818"/>
      <c r="F87" s="499"/>
      <c r="G87" s="497"/>
      <c r="H87" s="497"/>
      <c r="I87" s="497"/>
      <c r="J87" s="497"/>
      <c r="K87" s="498"/>
      <c r="L87" s="817" t="str">
        <f t="shared" si="1"/>
        <v/>
      </c>
      <c r="M87" s="817"/>
      <c r="N87" s="817"/>
    </row>
    <row r="88" spans="2:14" ht="15" customHeight="1" x14ac:dyDescent="0.2">
      <c r="B88" s="818" t="str">
        <f t="shared" si="0"/>
        <v/>
      </c>
      <c r="C88" s="818"/>
      <c r="D88" s="818"/>
      <c r="E88" s="818"/>
      <c r="F88" s="499"/>
      <c r="G88" s="497"/>
      <c r="H88" s="497"/>
      <c r="I88" s="497"/>
      <c r="J88" s="497"/>
      <c r="K88" s="498"/>
      <c r="L88" s="817" t="str">
        <f t="shared" si="1"/>
        <v/>
      </c>
      <c r="M88" s="817"/>
      <c r="N88" s="817"/>
    </row>
    <row r="89" spans="2:14" ht="15" customHeight="1" x14ac:dyDescent="0.2">
      <c r="B89" s="818" t="str">
        <f t="shared" si="0"/>
        <v/>
      </c>
      <c r="C89" s="818"/>
      <c r="D89" s="818"/>
      <c r="E89" s="818"/>
      <c r="F89" s="499"/>
      <c r="G89" s="497"/>
      <c r="H89" s="497"/>
      <c r="I89" s="497"/>
      <c r="J89" s="497"/>
      <c r="K89" s="498"/>
      <c r="L89" s="817" t="str">
        <f t="shared" si="1"/>
        <v/>
      </c>
      <c r="M89" s="817"/>
      <c r="N89" s="817"/>
    </row>
    <row r="90" spans="2:14" ht="15" customHeight="1" x14ac:dyDescent="0.2">
      <c r="B90" s="818" t="str">
        <f t="shared" si="0"/>
        <v/>
      </c>
      <c r="C90" s="818"/>
      <c r="D90" s="818"/>
      <c r="E90" s="818"/>
      <c r="F90" s="499"/>
      <c r="G90" s="497"/>
      <c r="H90" s="497"/>
      <c r="I90" s="497"/>
      <c r="J90" s="497"/>
      <c r="K90" s="498"/>
      <c r="L90" s="817" t="str">
        <f t="shared" si="1"/>
        <v/>
      </c>
      <c r="M90" s="817"/>
      <c r="N90" s="817"/>
    </row>
    <row r="91" spans="2:14" ht="15" customHeight="1" x14ac:dyDescent="0.2">
      <c r="B91" s="818" t="str">
        <f t="shared" si="0"/>
        <v/>
      </c>
      <c r="C91" s="818"/>
      <c r="D91" s="818"/>
      <c r="E91" s="818"/>
      <c r="F91" s="499"/>
      <c r="G91" s="497"/>
      <c r="H91" s="497"/>
      <c r="I91" s="497"/>
      <c r="J91" s="497"/>
      <c r="K91" s="498"/>
      <c r="L91" s="817" t="str">
        <f t="shared" si="1"/>
        <v/>
      </c>
      <c r="M91" s="817"/>
      <c r="N91" s="817"/>
    </row>
    <row r="92" spans="2:14" ht="15" customHeight="1" x14ac:dyDescent="0.2">
      <c r="B92" s="831" t="s">
        <v>453</v>
      </c>
      <c r="C92" s="831"/>
      <c r="D92" s="831"/>
      <c r="E92" s="831"/>
      <c r="F92" s="831"/>
      <c r="G92" s="831"/>
      <c r="H92" s="831"/>
      <c r="I92" s="831"/>
      <c r="J92" s="831"/>
      <c r="K92" s="831"/>
      <c r="L92" s="832">
        <f>SUM(L82:N91)</f>
        <v>0</v>
      </c>
      <c r="M92" s="832"/>
      <c r="N92" s="832"/>
    </row>
    <row r="93" spans="2:14" s="130" customFormat="1" ht="15" customHeight="1" x14ac:dyDescent="0.2">
      <c r="B93" s="815" t="s">
        <v>698</v>
      </c>
      <c r="C93" s="815"/>
      <c r="D93" s="815"/>
      <c r="E93" s="815"/>
      <c r="F93" s="815"/>
      <c r="G93" s="815"/>
      <c r="H93" s="815"/>
      <c r="I93" s="815"/>
      <c r="J93" s="815"/>
      <c r="K93" s="815"/>
      <c r="L93" s="815"/>
      <c r="M93" s="815"/>
    </row>
    <row r="94" spans="2:14" ht="15" customHeight="1" x14ac:dyDescent="0.2">
      <c r="B94" s="829" t="s">
        <v>313</v>
      </c>
      <c r="C94" s="829"/>
      <c r="D94" s="829"/>
      <c r="E94" s="829"/>
      <c r="F94" s="829"/>
      <c r="G94" s="829"/>
      <c r="H94" s="829"/>
      <c r="I94" s="829"/>
      <c r="J94" s="829"/>
      <c r="K94" s="829"/>
      <c r="L94" s="829"/>
      <c r="M94" s="830" t="s">
        <v>341</v>
      </c>
      <c r="N94" s="830"/>
    </row>
    <row r="95" spans="2:14" ht="15" customHeight="1" x14ac:dyDescent="0.2">
      <c r="B95" s="814"/>
      <c r="C95" s="816"/>
      <c r="D95" s="501" t="str">
        <f>IFERROR(INDEX(Expense1,MATCH($B95,Expenses,0)),"")</f>
        <v/>
      </c>
      <c r="E95" s="500"/>
      <c r="F95" s="502" t="str">
        <f>IFERROR(INDEX(Expense2,MATCH($B95,Expenses,0)),"")</f>
        <v/>
      </c>
      <c r="G95" s="500"/>
      <c r="H95" s="819" t="str">
        <f>IFERROR(INDEX(Expense3,MATCH($B95,Expenses,0)),"")</f>
        <v/>
      </c>
      <c r="I95" s="819"/>
      <c r="J95" s="500"/>
      <c r="K95" s="819" t="str">
        <f>IFERROR(IF(INDEX(Expense4,MATCH($B95,Expenses,0))=0,"",INDEX(Expense4,MATCH($B95,Expenses,0))),"")</f>
        <v/>
      </c>
      <c r="L95" s="819"/>
      <c r="M95" s="817" t="str">
        <f>IFERROR(IF(B95="","",E95*IF(AND(H95=" ",K95=" "),INDEX(expD,MATCH(B95,Expenses,0)),G95)*IF(K95=" ",IF(H95=" ",1,INDEX(expD,MATCH(B95,Expenses,0))),J95)),"")</f>
        <v/>
      </c>
      <c r="N95" s="817"/>
    </row>
    <row r="96" spans="2:14" ht="15" customHeight="1" x14ac:dyDescent="0.2">
      <c r="B96" s="814"/>
      <c r="C96" s="816"/>
      <c r="D96" s="501" t="str">
        <f>IFERROR(INDEX(Expense1,MATCH($B96,Expenses,0)),"")</f>
        <v/>
      </c>
      <c r="E96" s="500"/>
      <c r="F96" s="502" t="str">
        <f>IFERROR(INDEX(Expense2,MATCH($B96,Expenses,0)),"")</f>
        <v/>
      </c>
      <c r="G96" s="500"/>
      <c r="H96" s="819" t="str">
        <f>IFERROR(INDEX(Expense3,MATCH($B96,Expenses,0)),"")</f>
        <v/>
      </c>
      <c r="I96" s="819"/>
      <c r="J96" s="500"/>
      <c r="K96" s="819" t="str">
        <f>IFERROR(IF(INDEX(Expense4,MATCH($B96,Expenses,0))=0,"",INDEX(Expense4,MATCH($B96,Expenses,0))),"")</f>
        <v/>
      </c>
      <c r="L96" s="819"/>
      <c r="M96" s="817" t="str">
        <f>IFERROR(IF(B96="","",E96*IF(AND(H96=" ",K96=" "),INDEX(expD,MATCH(B96,Expenses,0)),G96)*IF(K96=" ",IF(H96=" ",1,INDEX(expD,MATCH(B96,Expenses,0))),J96)),"")</f>
        <v/>
      </c>
      <c r="N96" s="817"/>
    </row>
    <row r="97" spans="2:14" ht="15" customHeight="1" x14ac:dyDescent="0.2">
      <c r="B97" s="814"/>
      <c r="C97" s="816"/>
      <c r="D97" s="501" t="str">
        <f>IFERROR(INDEX(Expense1,MATCH($B97,Expenses,0)),"")</f>
        <v/>
      </c>
      <c r="E97" s="500"/>
      <c r="F97" s="502" t="str">
        <f>IFERROR(INDEX(Expense2,MATCH($B97,Expenses,0)),"")</f>
        <v/>
      </c>
      <c r="G97" s="500"/>
      <c r="H97" s="819" t="str">
        <f>IFERROR(INDEX(Expense3,MATCH($B97,Expenses,0)),"")</f>
        <v/>
      </c>
      <c r="I97" s="819"/>
      <c r="J97" s="500"/>
      <c r="K97" s="819" t="str">
        <f>IFERROR(IF(INDEX(Expense4,MATCH($B97,Expenses,0))=0,"",INDEX(Expense4,MATCH($B97,Expenses,0))),"")</f>
        <v/>
      </c>
      <c r="L97" s="819"/>
      <c r="M97" s="817" t="str">
        <f>IFERROR(IF(B97="","",E97*IF(AND(H97=" ",K97=" "),INDEX(expD,MATCH(B97,Expenses,0)),G97)*IF(K97=" ",IF(H97=" ",1,INDEX(expD,MATCH(B97,Expenses,0))),J97)),"")</f>
        <v/>
      </c>
      <c r="N97" s="817"/>
    </row>
    <row r="98" spans="2:14" ht="15" customHeight="1" x14ac:dyDescent="0.2">
      <c r="B98" s="814"/>
      <c r="C98" s="816"/>
      <c r="D98" s="501" t="str">
        <f>IFERROR(INDEX(Expense1,MATCH($B98,Expenses,0)),"")</f>
        <v/>
      </c>
      <c r="E98" s="500"/>
      <c r="F98" s="502" t="str">
        <f>IFERROR(INDEX(Expense2,MATCH($B98,Expenses,0)),"")</f>
        <v/>
      </c>
      <c r="G98" s="500"/>
      <c r="H98" s="819" t="str">
        <f>IFERROR(INDEX(Expense3,MATCH($B98,Expenses,0)),"")</f>
        <v/>
      </c>
      <c r="I98" s="819"/>
      <c r="J98" s="500"/>
      <c r="K98" s="819" t="str">
        <f>IFERROR(IF(INDEX(Expense4,MATCH($B98,Expenses,0))=0,"",INDEX(Expense4,MATCH($B98,Expenses,0))),"")</f>
        <v/>
      </c>
      <c r="L98" s="819"/>
      <c r="M98" s="817" t="str">
        <f>IFERROR(IF(B98="","",E98*IF(AND(H98=" ",K98=" "),INDEX(expD,MATCH(B98,Expenses,0)),G98)*IF(K98=" ",IF(H98=" ",1,INDEX(expD,MATCH(B98,Expenses,0))),J98)),"")</f>
        <v/>
      </c>
      <c r="N98" s="817"/>
    </row>
    <row r="99" spans="2:14" ht="15" customHeight="1" x14ac:dyDescent="0.2">
      <c r="B99" s="814"/>
      <c r="C99" s="816"/>
      <c r="D99" s="501" t="str">
        <f>IFERROR(INDEX(Expense1,MATCH($B99,Expenses,0)),"")</f>
        <v/>
      </c>
      <c r="E99" s="500"/>
      <c r="F99" s="502" t="str">
        <f>IFERROR(INDEX(Expense2,MATCH($B99,Expenses,0)),"")</f>
        <v/>
      </c>
      <c r="G99" s="500"/>
      <c r="H99" s="819" t="str">
        <f>IFERROR(INDEX(Expense3,MATCH($B99,Expenses,0)),"")</f>
        <v/>
      </c>
      <c r="I99" s="819"/>
      <c r="J99" s="500"/>
      <c r="K99" s="819" t="str">
        <f>IFERROR(IF(INDEX(Expense4,MATCH($B99,Expenses,0))=0,"",INDEX(Expense4,MATCH($B99,Expenses,0))),"")</f>
        <v/>
      </c>
      <c r="L99" s="819"/>
      <c r="M99" s="817" t="str">
        <f>IFERROR(IF(B99="","",E99*IF(AND(H99=" ",K99=" "),INDEX(expD,MATCH(B99,Expenses,0)),G99)*IF(K99=" ",IF(H99=" ",1,INDEX(expD,MATCH(B99,Expenses,0))),J99)),"")</f>
        <v/>
      </c>
      <c r="N99" s="817"/>
    </row>
    <row r="100" spans="2:14" ht="15" customHeight="1" x14ac:dyDescent="0.2">
      <c r="B100" s="814"/>
      <c r="C100" s="816"/>
      <c r="D100" s="501" t="str">
        <f>IFERROR(INDEX(Expense1,MATCH($B100,Expenses,0)),"")</f>
        <v/>
      </c>
      <c r="E100" s="500"/>
      <c r="F100" s="502" t="str">
        <f>IFERROR(INDEX(Expense2,MATCH($B100,Expenses,0)),"")</f>
        <v/>
      </c>
      <c r="G100" s="500"/>
      <c r="H100" s="819" t="str">
        <f>IFERROR(INDEX(Expense3,MATCH($B100,Expenses,0)),"")</f>
        <v/>
      </c>
      <c r="I100" s="819"/>
      <c r="J100" s="500"/>
      <c r="K100" s="819" t="str">
        <f>IFERROR(IF(INDEX(Expense4,MATCH($B100,Expenses,0))=0,"",INDEX(Expense4,MATCH($B100,Expenses,0))),"")</f>
        <v/>
      </c>
      <c r="L100" s="819"/>
      <c r="M100" s="817" t="str">
        <f>IFERROR(IF(B100="","",E100*IF(AND(H100=" ",K100=" "),INDEX(expD,MATCH(B100,Expenses,0)),G100)*IF(K100=" ",IF(H100=" ",1,INDEX(expD,MATCH(B100,Expenses,0))),J100)),"")</f>
        <v/>
      </c>
      <c r="N100" s="817"/>
    </row>
    <row r="101" spans="2:14" ht="15" customHeight="1" x14ac:dyDescent="0.2">
      <c r="B101" s="814"/>
      <c r="C101" s="816"/>
      <c r="D101" s="501" t="str">
        <f>IFERROR(INDEX(Expense1,MATCH($B101,Expenses,0)),"")</f>
        <v/>
      </c>
      <c r="E101" s="500"/>
      <c r="F101" s="502" t="str">
        <f>IFERROR(INDEX(Expense2,MATCH($B101,Expenses,0)),"")</f>
        <v/>
      </c>
      <c r="G101" s="500"/>
      <c r="H101" s="819" t="str">
        <f>IFERROR(INDEX(Expense3,MATCH($B101,Expenses,0)),"")</f>
        <v/>
      </c>
      <c r="I101" s="819"/>
      <c r="J101" s="500"/>
      <c r="K101" s="819" t="str">
        <f>IFERROR(IF(INDEX(Expense4,MATCH($B101,Expenses,0))=0,"",INDEX(Expense4,MATCH($B101,Expenses,0))),"")</f>
        <v/>
      </c>
      <c r="L101" s="819"/>
      <c r="M101" s="817" t="str">
        <f>IFERROR(IF(B101="","",E101*IF(AND(H101=" ",K101=" "),INDEX(expD,MATCH(B101,Expenses,0)),G101)*IF(K101=" ",IF(H101=" ",1,INDEX(expD,MATCH(B101,Expenses,0))),J101)),"")</f>
        <v/>
      </c>
      <c r="N101" s="817"/>
    </row>
    <row r="102" spans="2:14" ht="15" customHeight="1" x14ac:dyDescent="0.2">
      <c r="B102" s="814"/>
      <c r="C102" s="816"/>
      <c r="D102" s="501" t="str">
        <f>IFERROR(INDEX(Expense1,MATCH($B102,Expenses,0)),"")</f>
        <v/>
      </c>
      <c r="E102" s="500"/>
      <c r="F102" s="502" t="str">
        <f>IFERROR(INDEX(Expense2,MATCH($B102,Expenses,0)),"")</f>
        <v/>
      </c>
      <c r="G102" s="500"/>
      <c r="H102" s="819" t="str">
        <f>IFERROR(INDEX(Expense3,MATCH($B102,Expenses,0)),"")</f>
        <v/>
      </c>
      <c r="I102" s="819"/>
      <c r="J102" s="500"/>
      <c r="K102" s="819" t="str">
        <f>IFERROR(IF(INDEX(Expense4,MATCH($B102,Expenses,0))=0,"",INDEX(Expense4,MATCH($B102,Expenses,0))),"")</f>
        <v/>
      </c>
      <c r="L102" s="819"/>
      <c r="M102" s="817" t="str">
        <f>IFERROR(IF(B102="","",E102*IF(AND(H102=" ",K102=" "),INDEX(expD,MATCH(B102,Expenses,0)),G102)*IF(K102=" ",IF(H102=" ",1,INDEX(expD,MATCH(B102,Expenses,0))),J102)),"")</f>
        <v/>
      </c>
      <c r="N102" s="817"/>
    </row>
    <row r="103" spans="2:14" ht="15" customHeight="1" x14ac:dyDescent="0.2">
      <c r="B103" s="820" t="s">
        <v>454</v>
      </c>
      <c r="C103" s="820"/>
      <c r="D103" s="820"/>
      <c r="E103" s="820"/>
      <c r="F103" s="820"/>
      <c r="G103" s="820"/>
      <c r="H103" s="820"/>
      <c r="I103" s="820"/>
      <c r="J103" s="820"/>
      <c r="K103" s="820"/>
      <c r="L103" s="820"/>
      <c r="M103" s="823">
        <f>SUM(M95:N102)</f>
        <v>0</v>
      </c>
      <c r="N103" s="824"/>
    </row>
    <row r="104" spans="2:14" ht="15" customHeight="1" x14ac:dyDescent="0.2">
      <c r="B104" s="820" t="s">
        <v>455</v>
      </c>
      <c r="C104" s="820"/>
      <c r="D104" s="820"/>
      <c r="E104" s="820"/>
      <c r="F104" s="820"/>
      <c r="G104" s="820"/>
      <c r="H104" s="820"/>
      <c r="I104" s="820"/>
      <c r="J104" s="820"/>
      <c r="K104" s="820"/>
      <c r="L104" s="820"/>
      <c r="M104" s="821">
        <f>SUM(L92,M103)</f>
        <v>0</v>
      </c>
      <c r="N104" s="822"/>
    </row>
    <row r="105" spans="2:14" s="130" customFormat="1" ht="15" customHeight="1" x14ac:dyDescent="0.2">
      <c r="B105" s="815" t="s">
        <v>675</v>
      </c>
      <c r="C105" s="815"/>
      <c r="D105" s="815"/>
      <c r="E105" s="815"/>
      <c r="F105" s="815"/>
      <c r="G105" s="815"/>
      <c r="H105" s="815"/>
      <c r="I105" s="815"/>
      <c r="J105" s="815"/>
      <c r="K105" s="815"/>
      <c r="L105" s="815"/>
      <c r="M105" s="815"/>
    </row>
    <row r="106" spans="2:14" ht="15" customHeight="1" x14ac:dyDescent="0.2">
      <c r="B106" s="793" t="s">
        <v>381</v>
      </c>
      <c r="C106" s="793"/>
      <c r="D106" s="793"/>
      <c r="E106" s="793"/>
      <c r="F106" s="793"/>
      <c r="G106" s="793"/>
      <c r="H106" s="793"/>
      <c r="I106" s="793"/>
      <c r="J106" s="793"/>
      <c r="K106" s="793"/>
      <c r="L106" s="793"/>
      <c r="M106" s="793"/>
      <c r="N106" s="793"/>
    </row>
    <row r="107" spans="2:14" ht="15" customHeight="1" x14ac:dyDescent="0.2">
      <c r="B107" s="793"/>
      <c r="C107" s="793"/>
      <c r="D107" s="793"/>
      <c r="E107" s="793"/>
      <c r="F107" s="793"/>
      <c r="G107" s="793"/>
      <c r="H107" s="793"/>
      <c r="I107" s="793"/>
      <c r="J107" s="793"/>
      <c r="K107" s="793"/>
      <c r="L107" s="793"/>
      <c r="M107" s="793"/>
      <c r="N107" s="793"/>
    </row>
    <row r="108" spans="2:14" ht="15" customHeight="1" x14ac:dyDescent="0.2">
      <c r="B108" s="793"/>
      <c r="C108" s="793"/>
      <c r="D108" s="793"/>
      <c r="E108" s="793"/>
      <c r="F108" s="793"/>
      <c r="G108" s="793"/>
      <c r="H108" s="793"/>
      <c r="I108" s="793"/>
      <c r="J108" s="793"/>
      <c r="K108" s="793"/>
      <c r="L108" s="793"/>
      <c r="M108" s="793"/>
      <c r="N108" s="793"/>
    </row>
    <row r="109" spans="2:14" ht="15" customHeight="1" x14ac:dyDescent="0.2">
      <c r="B109" s="793"/>
      <c r="C109" s="793"/>
      <c r="D109" s="793"/>
      <c r="E109" s="793"/>
      <c r="F109" s="793"/>
      <c r="G109" s="793"/>
      <c r="H109" s="793"/>
      <c r="I109" s="793"/>
      <c r="J109" s="793"/>
      <c r="K109" s="793"/>
      <c r="L109" s="793"/>
      <c r="M109" s="793"/>
      <c r="N109" s="793"/>
    </row>
    <row r="110" spans="2:14" ht="15" customHeight="1" x14ac:dyDescent="0.2">
      <c r="B110" s="793"/>
      <c r="C110" s="793"/>
      <c r="D110" s="793"/>
      <c r="E110" s="793"/>
      <c r="F110" s="793"/>
      <c r="G110" s="793"/>
      <c r="H110" s="793"/>
      <c r="I110" s="793"/>
      <c r="J110" s="793"/>
      <c r="K110" s="793"/>
      <c r="L110" s="793"/>
      <c r="M110" s="793"/>
      <c r="N110" s="793"/>
    </row>
    <row r="111" spans="2:14" ht="22.5" customHeight="1" x14ac:dyDescent="0.2">
      <c r="B111" s="833" t="s">
        <v>674</v>
      </c>
      <c r="C111" s="833"/>
      <c r="D111" s="834"/>
      <c r="E111" s="834"/>
      <c r="F111" s="834"/>
      <c r="G111" s="834"/>
      <c r="H111" s="834"/>
      <c r="I111" s="834"/>
      <c r="J111" s="834"/>
      <c r="K111" s="834"/>
      <c r="L111" s="834"/>
      <c r="M111" s="834"/>
      <c r="N111" s="834"/>
    </row>
    <row r="112" spans="2:14" ht="15" customHeight="1" x14ac:dyDescent="0.2">
      <c r="B112" s="794" t="s">
        <v>659</v>
      </c>
      <c r="C112" s="794"/>
      <c r="D112" s="794"/>
      <c r="E112" s="794"/>
      <c r="F112" s="794"/>
      <c r="G112" s="794"/>
      <c r="H112" s="794"/>
      <c r="I112" s="794"/>
      <c r="J112" s="794"/>
      <c r="K112" s="794"/>
      <c r="L112" s="794"/>
      <c r="M112" s="794"/>
      <c r="N112" s="794"/>
    </row>
    <row r="113" spans="2:14" ht="15" customHeight="1" x14ac:dyDescent="0.2">
      <c r="B113" s="794"/>
      <c r="C113" s="794"/>
      <c r="D113" s="794"/>
      <c r="E113" s="794"/>
      <c r="F113" s="794"/>
      <c r="G113" s="794"/>
      <c r="H113" s="794"/>
      <c r="I113" s="794"/>
      <c r="J113" s="794"/>
      <c r="K113" s="794"/>
      <c r="L113" s="794"/>
      <c r="M113" s="794"/>
      <c r="N113" s="794"/>
    </row>
    <row r="114" spans="2:14" ht="15" customHeight="1" x14ac:dyDescent="0.2">
      <c r="B114" s="794"/>
      <c r="C114" s="794"/>
      <c r="D114" s="794"/>
      <c r="E114" s="794"/>
      <c r="F114" s="794"/>
      <c r="G114" s="794"/>
      <c r="H114" s="794"/>
      <c r="I114" s="794"/>
      <c r="J114" s="794"/>
      <c r="K114" s="794"/>
      <c r="L114" s="794"/>
      <c r="M114" s="794"/>
      <c r="N114" s="794"/>
    </row>
    <row r="115" spans="2:14" ht="15" customHeight="1" x14ac:dyDescent="0.2">
      <c r="B115" s="794"/>
      <c r="C115" s="794"/>
      <c r="D115" s="794"/>
      <c r="E115" s="794"/>
      <c r="F115" s="794"/>
      <c r="G115" s="794"/>
      <c r="H115" s="794"/>
      <c r="I115" s="794"/>
      <c r="J115" s="794"/>
      <c r="K115" s="794"/>
      <c r="L115" s="794"/>
      <c r="M115" s="794"/>
      <c r="N115" s="794"/>
    </row>
    <row r="116" spans="2:14" ht="15" customHeight="1" x14ac:dyDescent="0.2">
      <c r="B116" s="794"/>
      <c r="C116" s="794"/>
      <c r="D116" s="794"/>
      <c r="E116" s="794"/>
      <c r="F116" s="794"/>
      <c r="G116" s="794"/>
      <c r="H116" s="794"/>
      <c r="I116" s="794"/>
      <c r="J116" s="794"/>
      <c r="K116" s="794"/>
      <c r="L116" s="794"/>
      <c r="M116" s="794"/>
      <c r="N116" s="794"/>
    </row>
    <row r="117" spans="2:14" ht="15" customHeight="1" x14ac:dyDescent="0.2">
      <c r="B117" s="855"/>
      <c r="C117" s="855"/>
      <c r="D117" s="855"/>
      <c r="E117" s="855"/>
      <c r="F117" s="855"/>
      <c r="G117" s="855"/>
      <c r="H117" s="855"/>
      <c r="I117" s="855"/>
      <c r="J117" s="855"/>
      <c r="K117" s="855"/>
      <c r="L117" s="855"/>
      <c r="M117" s="855"/>
      <c r="N117" s="855"/>
    </row>
    <row r="118" spans="2:14" ht="15" customHeight="1" x14ac:dyDescent="0.2">
      <c r="B118" s="855"/>
      <c r="C118" s="855"/>
      <c r="D118" s="855"/>
      <c r="E118" s="855"/>
      <c r="F118" s="855"/>
      <c r="G118" s="855"/>
      <c r="H118" s="855"/>
      <c r="I118" s="855"/>
      <c r="J118" s="855"/>
      <c r="K118" s="855"/>
      <c r="L118" s="855"/>
      <c r="M118" s="855"/>
      <c r="N118" s="855"/>
    </row>
    <row r="119" spans="2:14" ht="15" customHeight="1" x14ac:dyDescent="0.2">
      <c r="B119" s="855"/>
      <c r="C119" s="855"/>
      <c r="D119" s="855"/>
      <c r="E119" s="855"/>
      <c r="F119" s="855"/>
      <c r="G119" s="855"/>
      <c r="H119" s="855"/>
      <c r="I119" s="855"/>
      <c r="J119" s="855"/>
      <c r="K119" s="855"/>
      <c r="L119" s="855"/>
      <c r="M119" s="855"/>
      <c r="N119" s="855"/>
    </row>
    <row r="120" spans="2:14" ht="15" customHeight="1" x14ac:dyDescent="0.2">
      <c r="B120" s="855"/>
      <c r="C120" s="855"/>
      <c r="D120" s="855"/>
      <c r="E120" s="855"/>
      <c r="F120" s="855"/>
      <c r="G120" s="855"/>
      <c r="H120" s="855"/>
      <c r="I120" s="855"/>
      <c r="J120" s="855"/>
      <c r="K120" s="855"/>
      <c r="L120" s="855"/>
      <c r="M120" s="855"/>
      <c r="N120" s="855"/>
    </row>
    <row r="121" spans="2:14" ht="15" customHeight="1" x14ac:dyDescent="0.2">
      <c r="B121" s="855"/>
      <c r="C121" s="855"/>
      <c r="D121" s="855"/>
      <c r="E121" s="855"/>
      <c r="F121" s="855"/>
      <c r="G121" s="855"/>
      <c r="H121" s="855"/>
      <c r="I121" s="855"/>
      <c r="J121" s="855"/>
      <c r="K121" s="855"/>
      <c r="L121" s="855"/>
      <c r="M121" s="855"/>
      <c r="N121" s="855"/>
    </row>
    <row r="122" spans="2:14" ht="15" customHeight="1" x14ac:dyDescent="0.2">
      <c r="B122" s="855"/>
      <c r="C122" s="855"/>
      <c r="D122" s="855"/>
      <c r="E122" s="855"/>
      <c r="F122" s="855"/>
      <c r="G122" s="855"/>
      <c r="H122" s="855"/>
      <c r="I122" s="855"/>
      <c r="J122" s="855"/>
      <c r="K122" s="855"/>
      <c r="L122" s="855"/>
      <c r="M122" s="855"/>
      <c r="N122" s="855"/>
    </row>
    <row r="123" spans="2:14" ht="15" customHeight="1" x14ac:dyDescent="0.2">
      <c r="B123" s="855"/>
      <c r="C123" s="855"/>
      <c r="D123" s="855"/>
      <c r="E123" s="855"/>
      <c r="F123" s="855"/>
      <c r="G123" s="855"/>
      <c r="H123" s="855"/>
      <c r="I123" s="855"/>
      <c r="J123" s="855"/>
      <c r="K123" s="855"/>
      <c r="L123" s="855"/>
      <c r="M123" s="855"/>
      <c r="N123" s="855"/>
    </row>
    <row r="124" spans="2:14" ht="15" customHeight="1" x14ac:dyDescent="0.2">
      <c r="B124" s="855"/>
      <c r="C124" s="855"/>
      <c r="D124" s="855"/>
      <c r="E124" s="855"/>
      <c r="F124" s="855"/>
      <c r="G124" s="855"/>
      <c r="H124" s="855"/>
      <c r="I124" s="855"/>
      <c r="J124" s="855"/>
      <c r="K124" s="855"/>
      <c r="L124" s="855"/>
      <c r="M124" s="855"/>
      <c r="N124" s="855"/>
    </row>
    <row r="125" spans="2:14" ht="15" customHeight="1" x14ac:dyDescent="0.2">
      <c r="B125" s="855"/>
      <c r="C125" s="855"/>
      <c r="D125" s="855"/>
      <c r="E125" s="855"/>
      <c r="F125" s="855"/>
      <c r="G125" s="855"/>
      <c r="H125" s="855"/>
      <c r="I125" s="855"/>
      <c r="J125" s="855"/>
      <c r="K125" s="855"/>
      <c r="L125" s="855"/>
      <c r="M125" s="855"/>
      <c r="N125" s="855"/>
    </row>
    <row r="126" spans="2:14" ht="15" customHeight="1" x14ac:dyDescent="0.2">
      <c r="B126" s="855"/>
      <c r="C126" s="855"/>
      <c r="D126" s="855"/>
      <c r="E126" s="855"/>
      <c r="F126" s="855"/>
      <c r="G126" s="855"/>
      <c r="H126" s="855"/>
      <c r="I126" s="855"/>
      <c r="J126" s="855"/>
      <c r="K126" s="855"/>
      <c r="L126" s="855"/>
      <c r="M126" s="855"/>
      <c r="N126" s="855"/>
    </row>
    <row r="127" spans="2:14" ht="15" customHeight="1" x14ac:dyDescent="0.2">
      <c r="B127" s="855"/>
      <c r="C127" s="855"/>
      <c r="D127" s="855"/>
      <c r="E127" s="855"/>
      <c r="F127" s="855"/>
      <c r="G127" s="855"/>
      <c r="H127" s="855"/>
      <c r="I127" s="855"/>
      <c r="J127" s="855"/>
      <c r="K127" s="855"/>
      <c r="L127" s="855"/>
      <c r="M127" s="855"/>
      <c r="N127" s="855"/>
    </row>
    <row r="128" spans="2:14" ht="15" customHeight="1" x14ac:dyDescent="0.2">
      <c r="B128" s="855"/>
      <c r="C128" s="855"/>
      <c r="D128" s="855"/>
      <c r="E128" s="855"/>
      <c r="F128" s="855"/>
      <c r="G128" s="855"/>
      <c r="H128" s="855"/>
      <c r="I128" s="855"/>
      <c r="J128" s="855"/>
      <c r="K128" s="855"/>
      <c r="L128" s="855"/>
      <c r="M128" s="855"/>
      <c r="N128" s="855"/>
    </row>
    <row r="129" spans="2:14" ht="15" customHeight="1" x14ac:dyDescent="0.2">
      <c r="B129" s="855"/>
      <c r="C129" s="855"/>
      <c r="D129" s="855"/>
      <c r="E129" s="855"/>
      <c r="F129" s="855"/>
      <c r="G129" s="855"/>
      <c r="H129" s="855"/>
      <c r="I129" s="855"/>
      <c r="J129" s="855"/>
      <c r="K129" s="855"/>
      <c r="L129" s="855"/>
      <c r="M129" s="855"/>
      <c r="N129" s="855"/>
    </row>
    <row r="130" spans="2:14" ht="15" customHeight="1" x14ac:dyDescent="0.2">
      <c r="B130" s="855"/>
      <c r="C130" s="855"/>
      <c r="D130" s="855"/>
      <c r="E130" s="855"/>
      <c r="F130" s="855"/>
      <c r="G130" s="855"/>
      <c r="H130" s="855"/>
      <c r="I130" s="855"/>
      <c r="J130" s="855"/>
      <c r="K130" s="855"/>
      <c r="L130" s="855"/>
      <c r="M130" s="855"/>
      <c r="N130" s="855"/>
    </row>
    <row r="131" spans="2:14" ht="15" customHeight="1" x14ac:dyDescent="0.2">
      <c r="B131" s="855"/>
      <c r="C131" s="855"/>
      <c r="D131" s="855"/>
      <c r="E131" s="855"/>
      <c r="F131" s="855"/>
      <c r="G131" s="855"/>
      <c r="H131" s="855"/>
      <c r="I131" s="855"/>
      <c r="J131" s="855"/>
      <c r="K131" s="855"/>
      <c r="L131" s="855"/>
      <c r="M131" s="855"/>
      <c r="N131" s="855"/>
    </row>
    <row r="132" spans="2:14" ht="15" customHeight="1" x14ac:dyDescent="0.2">
      <c r="B132" s="855"/>
      <c r="C132" s="855"/>
      <c r="D132" s="855"/>
      <c r="E132" s="855"/>
      <c r="F132" s="855"/>
      <c r="G132" s="855"/>
      <c r="H132" s="855"/>
      <c r="I132" s="855"/>
      <c r="J132" s="855"/>
      <c r="K132" s="855"/>
      <c r="L132" s="855"/>
      <c r="M132" s="855"/>
      <c r="N132" s="855"/>
    </row>
    <row r="133" spans="2:14" ht="15" customHeight="1" x14ac:dyDescent="0.2">
      <c r="B133" s="855"/>
      <c r="C133" s="855"/>
      <c r="D133" s="855"/>
      <c r="E133" s="855"/>
      <c r="F133" s="855"/>
      <c r="G133" s="855"/>
      <c r="H133" s="855"/>
      <c r="I133" s="855"/>
      <c r="J133" s="855"/>
      <c r="K133" s="855"/>
      <c r="L133" s="855"/>
      <c r="M133" s="855"/>
      <c r="N133" s="855"/>
    </row>
    <row r="134" spans="2:14" ht="15" customHeight="1" x14ac:dyDescent="0.2">
      <c r="B134" s="855"/>
      <c r="C134" s="855"/>
      <c r="D134" s="855"/>
      <c r="E134" s="855"/>
      <c r="F134" s="855"/>
      <c r="G134" s="855"/>
      <c r="H134" s="855"/>
      <c r="I134" s="855"/>
      <c r="J134" s="855"/>
      <c r="K134" s="855"/>
      <c r="L134" s="855"/>
      <c r="M134" s="855"/>
      <c r="N134" s="855"/>
    </row>
    <row r="135" spans="2:14" ht="15" customHeight="1" x14ac:dyDescent="0.2">
      <c r="B135" s="855"/>
      <c r="C135" s="855"/>
      <c r="D135" s="855"/>
      <c r="E135" s="855"/>
      <c r="F135" s="855"/>
      <c r="G135" s="855"/>
      <c r="H135" s="855"/>
      <c r="I135" s="855"/>
      <c r="J135" s="855"/>
      <c r="K135" s="855"/>
      <c r="L135" s="855"/>
      <c r="M135" s="855"/>
      <c r="N135" s="855"/>
    </row>
    <row r="136" spans="2:14" ht="15" customHeight="1" x14ac:dyDescent="0.2">
      <c r="B136" s="855"/>
      <c r="C136" s="855"/>
      <c r="D136" s="855"/>
      <c r="E136" s="855"/>
      <c r="F136" s="855"/>
      <c r="G136" s="855"/>
      <c r="H136" s="855"/>
      <c r="I136" s="855"/>
      <c r="J136" s="855"/>
      <c r="K136" s="855"/>
      <c r="L136" s="855"/>
      <c r="M136" s="855"/>
      <c r="N136" s="855"/>
    </row>
    <row r="137" spans="2:14" ht="15" customHeight="1" x14ac:dyDescent="0.2">
      <c r="B137" s="855"/>
      <c r="C137" s="855"/>
      <c r="D137" s="855"/>
      <c r="E137" s="855"/>
      <c r="F137" s="855"/>
      <c r="G137" s="855"/>
      <c r="H137" s="855"/>
      <c r="I137" s="855"/>
      <c r="J137" s="855"/>
      <c r="K137" s="855"/>
      <c r="L137" s="855"/>
      <c r="M137" s="855"/>
      <c r="N137" s="855"/>
    </row>
    <row r="138" spans="2:14" ht="15" customHeight="1" x14ac:dyDescent="0.2">
      <c r="B138" s="855"/>
      <c r="C138" s="855"/>
      <c r="D138" s="855"/>
      <c r="E138" s="855"/>
      <c r="F138" s="855"/>
      <c r="G138" s="855"/>
      <c r="H138" s="855"/>
      <c r="I138" s="855"/>
      <c r="J138" s="855"/>
      <c r="K138" s="855"/>
      <c r="L138" s="855"/>
      <c r="M138" s="855"/>
      <c r="N138" s="855"/>
    </row>
    <row r="139" spans="2:14" ht="15" customHeight="1" x14ac:dyDescent="0.2">
      <c r="B139" s="855"/>
      <c r="C139" s="855"/>
      <c r="D139" s="855"/>
      <c r="E139" s="855"/>
      <c r="F139" s="855"/>
      <c r="G139" s="855"/>
      <c r="H139" s="855"/>
      <c r="I139" s="855"/>
      <c r="J139" s="855"/>
      <c r="K139" s="855"/>
      <c r="L139" s="855"/>
      <c r="M139" s="855"/>
      <c r="N139" s="855"/>
    </row>
    <row r="140" spans="2:14" ht="15" customHeight="1" x14ac:dyDescent="0.2">
      <c r="B140" s="855"/>
      <c r="C140" s="855"/>
      <c r="D140" s="855"/>
      <c r="E140" s="855"/>
      <c r="F140" s="855"/>
      <c r="G140" s="855"/>
      <c r="H140" s="855"/>
      <c r="I140" s="855"/>
      <c r="J140" s="855"/>
      <c r="K140" s="855"/>
      <c r="L140" s="855"/>
      <c r="M140" s="855"/>
      <c r="N140" s="855"/>
    </row>
    <row r="141" spans="2:14" ht="15" customHeight="1" x14ac:dyDescent="0.2">
      <c r="B141" s="855"/>
      <c r="C141" s="855"/>
      <c r="D141" s="855"/>
      <c r="E141" s="855"/>
      <c r="F141" s="855"/>
      <c r="G141" s="855"/>
      <c r="H141" s="855"/>
      <c r="I141" s="855"/>
      <c r="J141" s="855"/>
      <c r="K141" s="855"/>
      <c r="L141" s="855"/>
      <c r="M141" s="855"/>
      <c r="N141" s="855"/>
    </row>
    <row r="142" spans="2:14" ht="15" customHeight="1" x14ac:dyDescent="0.2">
      <c r="B142" s="855"/>
      <c r="C142" s="855"/>
      <c r="D142" s="855"/>
      <c r="E142" s="855"/>
      <c r="F142" s="855"/>
      <c r="G142" s="855"/>
      <c r="H142" s="855"/>
      <c r="I142" s="855"/>
      <c r="J142" s="855"/>
      <c r="K142" s="855"/>
      <c r="L142" s="855"/>
      <c r="M142" s="855"/>
      <c r="N142" s="855"/>
    </row>
    <row r="143" spans="2:14" ht="15" customHeight="1" x14ac:dyDescent="0.2"/>
  </sheetData>
  <sheetProtection algorithmName="SHA-512" hashValue="dFgPaLAj4iwxVzNFEePkHtxjsIfFMQvuwnLcXM5UQk7LUr+hbljNgMfmBHQc2ADonpoVj2psK8klC5BNvrYVqQ==" saltValue="QsTyrkhCevmaF/bWi9p3WQ==" spinCount="100000" sheet="1" scenarios="1"/>
  <mergeCells count="157">
    <mergeCell ref="B2:L5"/>
    <mergeCell ref="B117:N142"/>
    <mergeCell ref="B106:N110"/>
    <mergeCell ref="B111:N111"/>
    <mergeCell ref="B112:N116"/>
    <mergeCell ref="B83:E83"/>
    <mergeCell ref="B50:N53"/>
    <mergeCell ref="B82:E82"/>
    <mergeCell ref="L82:N82"/>
    <mergeCell ref="L83:N83"/>
    <mergeCell ref="B84:E84"/>
    <mergeCell ref="L84:N84"/>
    <mergeCell ref="B85:E85"/>
    <mergeCell ref="L85:N85"/>
    <mergeCell ref="B89:E89"/>
    <mergeCell ref="L89:N89"/>
    <mergeCell ref="B90:E90"/>
    <mergeCell ref="L90:N90"/>
    <mergeCell ref="B91:E91"/>
    <mergeCell ref="B80:E81"/>
    <mergeCell ref="F80:G80"/>
    <mergeCell ref="H80:I80"/>
    <mergeCell ref="J80:K80"/>
    <mergeCell ref="L80:N81"/>
    <mergeCell ref="B57:N60"/>
    <mergeCell ref="B47:M47"/>
    <mergeCell ref="B55:M55"/>
    <mergeCell ref="B65:D65"/>
    <mergeCell ref="E65:H65"/>
    <mergeCell ref="I65:K65"/>
    <mergeCell ref="B72:D72"/>
    <mergeCell ref="E72:H72"/>
    <mergeCell ref="I72:K72"/>
    <mergeCell ref="L72:N72"/>
    <mergeCell ref="B69:D69"/>
    <mergeCell ref="E69:H69"/>
    <mergeCell ref="I69:K69"/>
    <mergeCell ref="L69:N69"/>
    <mergeCell ref="B70:D70"/>
    <mergeCell ref="E70:H70"/>
    <mergeCell ref="I70:K70"/>
    <mergeCell ref="L70:N70"/>
    <mergeCell ref="B62:N62"/>
    <mergeCell ref="L66:N66"/>
    <mergeCell ref="B71:D71"/>
    <mergeCell ref="E71:H71"/>
    <mergeCell ref="I71:K71"/>
    <mergeCell ref="L71:N71"/>
    <mergeCell ref="B68:D68"/>
    <mergeCell ref="E68:H68"/>
    <mergeCell ref="I68:K68"/>
    <mergeCell ref="L68:N68"/>
    <mergeCell ref="B67:D67"/>
    <mergeCell ref="E67:H67"/>
    <mergeCell ref="I67:K67"/>
    <mergeCell ref="L67:N67"/>
    <mergeCell ref="B63:N64"/>
    <mergeCell ref="L65:N65"/>
    <mergeCell ref="B66:D66"/>
    <mergeCell ref="E66:H66"/>
    <mergeCell ref="I66:K66"/>
    <mergeCell ref="B25:N25"/>
    <mergeCell ref="K24:N24"/>
    <mergeCell ref="B42:N45"/>
    <mergeCell ref="B28:N28"/>
    <mergeCell ref="B30:N30"/>
    <mergeCell ref="B32:N35"/>
    <mergeCell ref="B56:N56"/>
    <mergeCell ref="B38:N40"/>
    <mergeCell ref="B48:N49"/>
    <mergeCell ref="B26:H26"/>
    <mergeCell ref="L26:N26"/>
    <mergeCell ref="B37:M37"/>
    <mergeCell ref="B6:N6"/>
    <mergeCell ref="E12:N12"/>
    <mergeCell ref="E13:N13"/>
    <mergeCell ref="E14:G14"/>
    <mergeCell ref="B16:M16"/>
    <mergeCell ref="B18:M18"/>
    <mergeCell ref="B19:N19"/>
    <mergeCell ref="B20:M20"/>
    <mergeCell ref="B17:N17"/>
    <mergeCell ref="B9:M9"/>
    <mergeCell ref="K7:L7"/>
    <mergeCell ref="I14:N14"/>
    <mergeCell ref="E11:N11"/>
    <mergeCell ref="B11:D11"/>
    <mergeCell ref="B12:D12"/>
    <mergeCell ref="B13:D13"/>
    <mergeCell ref="B14:D14"/>
    <mergeCell ref="B21:N21"/>
    <mergeCell ref="M2:N5"/>
    <mergeCell ref="L88:N88"/>
    <mergeCell ref="B94:L94"/>
    <mergeCell ref="M94:N94"/>
    <mergeCell ref="B95:C95"/>
    <mergeCell ref="H95:I95"/>
    <mergeCell ref="K95:L95"/>
    <mergeCell ref="M95:N95"/>
    <mergeCell ref="B92:K92"/>
    <mergeCell ref="L92:N92"/>
    <mergeCell ref="E75:H75"/>
    <mergeCell ref="I75:K75"/>
    <mergeCell ref="L75:N75"/>
    <mergeCell ref="B73:D73"/>
    <mergeCell ref="E73:H73"/>
    <mergeCell ref="I73:K73"/>
    <mergeCell ref="L73:N73"/>
    <mergeCell ref="B74:D74"/>
    <mergeCell ref="E74:H74"/>
    <mergeCell ref="I74:K74"/>
    <mergeCell ref="L74:N74"/>
    <mergeCell ref="B79:N79"/>
    <mergeCell ref="B29:M29"/>
    <mergeCell ref="B77:M77"/>
    <mergeCell ref="B93:M93"/>
    <mergeCell ref="B104:L104"/>
    <mergeCell ref="M104:N104"/>
    <mergeCell ref="B102:C102"/>
    <mergeCell ref="H102:I102"/>
    <mergeCell ref="K102:L102"/>
    <mergeCell ref="M102:N102"/>
    <mergeCell ref="B103:L103"/>
    <mergeCell ref="M103:N103"/>
    <mergeCell ref="B100:C100"/>
    <mergeCell ref="H100:I100"/>
    <mergeCell ref="K100:L100"/>
    <mergeCell ref="M100:N100"/>
    <mergeCell ref="B101:C101"/>
    <mergeCell ref="H101:I101"/>
    <mergeCell ref="M101:N101"/>
    <mergeCell ref="B78:N78"/>
    <mergeCell ref="B88:E88"/>
    <mergeCell ref="B75:D75"/>
    <mergeCell ref="B105:M105"/>
    <mergeCell ref="B99:C99"/>
    <mergeCell ref="L91:N91"/>
    <mergeCell ref="B86:E86"/>
    <mergeCell ref="L86:N86"/>
    <mergeCell ref="H99:I99"/>
    <mergeCell ref="K99:L99"/>
    <mergeCell ref="M99:N99"/>
    <mergeCell ref="B96:C96"/>
    <mergeCell ref="H96:I96"/>
    <mergeCell ref="K96:L96"/>
    <mergeCell ref="M96:N96"/>
    <mergeCell ref="B97:C97"/>
    <mergeCell ref="H97:I97"/>
    <mergeCell ref="K97:L97"/>
    <mergeCell ref="M97:N97"/>
    <mergeCell ref="B98:C98"/>
    <mergeCell ref="H98:I98"/>
    <mergeCell ref="K98:L98"/>
    <mergeCell ref="M98:N98"/>
    <mergeCell ref="K101:L101"/>
    <mergeCell ref="B87:E87"/>
    <mergeCell ref="L87:N87"/>
  </mergeCells>
  <dataValidations disablePrompts="1" count="5">
    <dataValidation type="list" allowBlank="1" showInputMessage="1" showErrorMessage="1" sqref="N16 N18 N20 N22" xr:uid="{00000000-0002-0000-0200-000000000000}">
      <formula1>"Yes, No"</formula1>
    </dataValidation>
    <dataValidation type="list" allowBlank="1" showInputMessage="1" showErrorMessage="1" sqref="L66:L76" xr:uid="{00000000-0002-0000-0200-000001000000}">
      <formula1>IndExpertise</formula1>
    </dataValidation>
    <dataValidation type="list" allowBlank="1" showInputMessage="1" showErrorMessage="1" sqref="I66:I76" xr:uid="{00000000-0002-0000-0200-000002000000}">
      <formula1>Roles</formula1>
    </dataValidation>
    <dataValidation errorStyle="warning" allowBlank="1" showInputMessage="1" showErrorMessage="1" errorTitle="Excessive Rate" error="An hourly rate is set too high, refer to this link for BC acceptable Engineering rates." sqref="K82:K91 G82:G91 I82:I91" xr:uid="{00000000-0002-0000-0200-000003000000}"/>
    <dataValidation type="list" allowBlank="1" showInputMessage="1" showErrorMessage="1" sqref="B95:C102" xr:uid="{00000000-0002-0000-0200-000004000000}">
      <formula1>Expenses</formula1>
    </dataValidation>
  </dataValidations>
  <pageMargins left="0.7" right="0.7" top="0.75" bottom="0.75" header="0.25" footer="0.3"/>
  <pageSetup scale="91" fitToHeight="0" orientation="portrait" r:id="rId1"/>
  <headerFooter>
    <oddHeader>&amp;L&amp;"Arial Black,Regular"&amp;12&amp;K61A744CleanBC&amp;K10A3C8 &amp;K005C97Custom Incentives
&amp;"Arial,Regular"Proposal</oddHeader>
    <oddFooter>&amp;LPage &amp;P of &amp;N&amp;R&amp;G</oddFooter>
  </headerFooter>
  <rowBreaks count="2" manualBreakCount="2">
    <brk id="46" max="16383" man="1"/>
    <brk id="9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1"/>
    <pageSetUpPr fitToPage="1"/>
  </sheetPr>
  <dimension ref="A1:V79"/>
  <sheetViews>
    <sheetView showGridLines="0" zoomScaleNormal="100" workbookViewId="0">
      <pane xSplit="2" ySplit="13" topLeftCell="C14" activePane="bottomRight" state="frozen"/>
      <selection pane="topRight" activeCell="C1" sqref="C1"/>
      <selection pane="bottomLeft" activeCell="A14" sqref="A14"/>
      <selection pane="bottomRight" activeCell="C14" sqref="C14"/>
    </sheetView>
  </sheetViews>
  <sheetFormatPr defaultColWidth="9.140625" defaultRowHeight="12.75" x14ac:dyDescent="0.2"/>
  <cols>
    <col min="1" max="1" width="61.28515625" style="199" customWidth="1"/>
    <col min="2" max="2" width="19.85546875" style="197" customWidth="1"/>
    <col min="3" max="3" width="2.85546875" style="521" customWidth="1"/>
    <col min="4" max="5" width="17.140625" style="197" customWidth="1"/>
    <col min="6" max="6" width="2.85546875" style="521" customWidth="1"/>
    <col min="7" max="8" width="17.140625" style="197" customWidth="1"/>
    <col min="9" max="9" width="2.28515625" style="521" customWidth="1"/>
    <col min="10" max="11" width="17.140625" style="197" customWidth="1"/>
    <col min="12" max="12" width="2.28515625" style="521" customWidth="1"/>
    <col min="13" max="14" width="17.140625" style="197" customWidth="1"/>
    <col min="15" max="15" width="2.28515625" style="521" customWidth="1"/>
    <col min="16" max="17" width="17.140625" style="197" customWidth="1"/>
    <col min="18" max="18" width="2.28515625" style="521" customWidth="1"/>
    <col min="19" max="20" width="17.140625" style="197" customWidth="1"/>
    <col min="21" max="21" width="67.85546875" style="197" bestFit="1" customWidth="1"/>
    <col min="22" max="25" width="16.42578125" style="197" customWidth="1"/>
    <col min="26" max="16384" width="9.140625" style="197"/>
  </cols>
  <sheetData>
    <row r="1" spans="1:21" ht="15.75" customHeight="1" x14ac:dyDescent="0.2">
      <c r="A1" s="910" t="s">
        <v>815</v>
      </c>
      <c r="B1" s="877" t="s">
        <v>817</v>
      </c>
      <c r="C1" s="878"/>
      <c r="D1" s="878"/>
      <c r="E1" s="879"/>
      <c r="F1" s="519"/>
      <c r="G1" s="533" t="s">
        <v>472</v>
      </c>
      <c r="H1" s="550"/>
      <c r="I1" s="611"/>
      <c r="J1" s="229"/>
      <c r="K1" s="533" t="s">
        <v>633</v>
      </c>
      <c r="L1" s="533"/>
      <c r="M1" s="875"/>
      <c r="N1" s="876"/>
      <c r="O1" s="612" t="str">
        <f>IF(M1="","yyyy-mm-dd","")</f>
        <v>yyyy-mm-dd</v>
      </c>
      <c r="P1" s="170"/>
      <c r="Q1" s="230"/>
      <c r="R1" s="535"/>
      <c r="S1" s="533" t="s">
        <v>621</v>
      </c>
      <c r="T1" s="554"/>
    </row>
    <row r="2" spans="1:21" ht="15.75" customHeight="1" x14ac:dyDescent="0.2">
      <c r="A2" s="911"/>
      <c r="B2" s="453" t="s">
        <v>719</v>
      </c>
      <c r="C2" s="542"/>
      <c r="D2" s="202" t="s">
        <v>720</v>
      </c>
      <c r="E2" s="213" t="s">
        <v>721</v>
      </c>
      <c r="F2" s="520"/>
      <c r="G2" s="197" t="s">
        <v>722</v>
      </c>
    </row>
    <row r="3" spans="1:21" ht="15.75" customHeight="1" x14ac:dyDescent="0.2">
      <c r="A3" s="911"/>
      <c r="B3" s="231"/>
      <c r="C3" s="543"/>
    </row>
    <row r="4" spans="1:21" ht="15.75" customHeight="1" x14ac:dyDescent="0.2">
      <c r="A4" s="911"/>
      <c r="B4" s="914" t="s">
        <v>474</v>
      </c>
      <c r="C4" s="914"/>
      <c r="D4" s="914"/>
      <c r="E4" s="914"/>
      <c r="F4" s="522"/>
      <c r="H4" s="532" t="s">
        <v>475</v>
      </c>
      <c r="I4" s="532"/>
      <c r="M4" s="864" t="s">
        <v>311</v>
      </c>
      <c r="N4" s="864"/>
      <c r="O4" s="534"/>
      <c r="P4" s="864" t="s">
        <v>476</v>
      </c>
      <c r="Q4" s="864"/>
      <c r="R4" s="534"/>
      <c r="S4" s="864" t="s">
        <v>477</v>
      </c>
      <c r="T4" s="864"/>
    </row>
    <row r="5" spans="1:21" ht="15.75" customHeight="1" x14ac:dyDescent="0.2">
      <c r="A5" s="911"/>
      <c r="B5" s="915">
        <f>'1.0 Pre-Screen'!E19</f>
        <v>0</v>
      </c>
      <c r="C5" s="916"/>
      <c r="D5" s="916"/>
      <c r="E5" s="917"/>
      <c r="F5" s="507"/>
      <c r="H5" s="553">
        <f>'1.0 Pre-Screen'!J20</f>
        <v>0</v>
      </c>
      <c r="I5" s="515"/>
      <c r="J5" s="230"/>
      <c r="K5" s="533" t="s">
        <v>478</v>
      </c>
      <c r="L5" s="533"/>
      <c r="M5" s="865">
        <f>'2.0 Proposal'!E11</f>
        <v>0</v>
      </c>
      <c r="N5" s="866"/>
      <c r="O5" s="551"/>
      <c r="P5" s="862">
        <f>'2.0 Proposal'!E14</f>
        <v>0</v>
      </c>
      <c r="Q5" s="863"/>
      <c r="R5" s="552"/>
      <c r="S5" s="862">
        <f>'2.0 Proposal'!I14</f>
        <v>0</v>
      </c>
      <c r="T5" s="863"/>
    </row>
    <row r="6" spans="1:21" ht="15.75" customHeight="1" x14ac:dyDescent="0.2">
      <c r="A6" s="911"/>
      <c r="B6" s="232"/>
      <c r="C6" s="544"/>
      <c r="Q6" s="233"/>
      <c r="R6" s="536"/>
      <c r="S6" s="233"/>
      <c r="T6" s="233"/>
    </row>
    <row r="7" spans="1:21" ht="15.75" customHeight="1" x14ac:dyDescent="0.2">
      <c r="A7" s="911"/>
      <c r="B7" s="234"/>
      <c r="C7" s="545"/>
      <c r="D7" s="606" t="s">
        <v>479</v>
      </c>
      <c r="E7" s="606"/>
      <c r="F7" s="606"/>
      <c r="G7" s="606"/>
      <c r="H7" s="606"/>
      <c r="I7" s="606"/>
      <c r="J7" s="606"/>
      <c r="K7" s="606"/>
      <c r="L7" s="606"/>
      <c r="M7" s="606"/>
      <c r="N7" s="606"/>
      <c r="O7" s="606"/>
      <c r="P7" s="606"/>
      <c r="Q7" s="606"/>
      <c r="R7" s="507"/>
      <c r="S7" s="235"/>
      <c r="T7" s="234"/>
    </row>
    <row r="8" spans="1:21" ht="17.25" customHeight="1" x14ac:dyDescent="0.2">
      <c r="A8" s="198" t="s">
        <v>691</v>
      </c>
      <c r="B8" s="925" t="s">
        <v>622</v>
      </c>
      <c r="C8" s="546"/>
      <c r="D8" s="867" t="s">
        <v>480</v>
      </c>
      <c r="E8" s="867"/>
      <c r="F8" s="523"/>
      <c r="G8" s="867" t="s">
        <v>481</v>
      </c>
      <c r="H8" s="867"/>
      <c r="I8" s="523"/>
      <c r="J8" s="867" t="s">
        <v>482</v>
      </c>
      <c r="K8" s="867"/>
      <c r="L8" s="523"/>
      <c r="M8" s="867" t="s">
        <v>483</v>
      </c>
      <c r="N8" s="867"/>
      <c r="O8" s="523"/>
      <c r="P8" s="867" t="s">
        <v>484</v>
      </c>
      <c r="Q8" s="867"/>
      <c r="R8" s="523"/>
      <c r="S8" s="888" t="s">
        <v>627</v>
      </c>
      <c r="T8" s="924" t="s">
        <v>632</v>
      </c>
    </row>
    <row r="9" spans="1:21" s="199" customFormat="1" ht="37.5" customHeight="1" x14ac:dyDescent="0.2">
      <c r="A9" s="198" t="s">
        <v>692</v>
      </c>
      <c r="B9" s="925"/>
      <c r="C9" s="546"/>
      <c r="D9" s="868"/>
      <c r="E9" s="869"/>
      <c r="F9" s="607"/>
      <c r="G9" s="868"/>
      <c r="H9" s="869"/>
      <c r="I9" s="607"/>
      <c r="J9" s="868"/>
      <c r="K9" s="869"/>
      <c r="L9" s="607"/>
      <c r="M9" s="868"/>
      <c r="N9" s="869"/>
      <c r="O9" s="607"/>
      <c r="P9" s="868"/>
      <c r="Q9" s="869"/>
      <c r="R9" s="607"/>
      <c r="S9" s="888"/>
      <c r="T9" s="924"/>
    </row>
    <row r="10" spans="1:21" ht="37.5" customHeight="1" x14ac:dyDescent="0.2">
      <c r="A10" s="198" t="s">
        <v>693</v>
      </c>
      <c r="B10" s="925"/>
      <c r="C10" s="546"/>
      <c r="D10" s="868"/>
      <c r="E10" s="869"/>
      <c r="F10" s="607"/>
      <c r="G10" s="868"/>
      <c r="H10" s="869"/>
      <c r="I10" s="607"/>
      <c r="J10" s="868"/>
      <c r="K10" s="869"/>
      <c r="L10" s="607"/>
      <c r="M10" s="868"/>
      <c r="N10" s="869"/>
      <c r="O10" s="607"/>
      <c r="P10" s="868"/>
      <c r="Q10" s="869"/>
      <c r="R10" s="607"/>
      <c r="S10" s="888"/>
      <c r="T10" s="924"/>
    </row>
    <row r="11" spans="1:21" ht="18" customHeight="1" x14ac:dyDescent="0.2">
      <c r="A11" s="198" t="s">
        <v>694</v>
      </c>
      <c r="B11" s="925"/>
      <c r="C11" s="546"/>
      <c r="D11" s="870" t="s">
        <v>871</v>
      </c>
      <c r="E11" s="871"/>
      <c r="F11" s="608"/>
      <c r="G11" s="870" t="s">
        <v>871</v>
      </c>
      <c r="H11" s="871"/>
      <c r="I11" s="608"/>
      <c r="J11" s="870" t="s">
        <v>871</v>
      </c>
      <c r="K11" s="871"/>
      <c r="L11" s="608"/>
      <c r="M11" s="870" t="s">
        <v>871</v>
      </c>
      <c r="N11" s="871"/>
      <c r="O11" s="608"/>
      <c r="P11" s="870" t="s">
        <v>871</v>
      </c>
      <c r="Q11" s="871"/>
      <c r="R11" s="608"/>
      <c r="S11" s="888"/>
      <c r="T11" s="924"/>
    </row>
    <row r="12" spans="1:21" ht="18" customHeight="1" x14ac:dyDescent="0.2">
      <c r="A12" s="198" t="s">
        <v>695</v>
      </c>
      <c r="B12" s="926"/>
      <c r="C12" s="546"/>
      <c r="D12" s="872" t="str">
        <f>IF(D10="","",INDEX(HDPersistence,MATCH(D10,HVACandDHW,0)))</f>
        <v/>
      </c>
      <c r="E12" s="872"/>
      <c r="F12" s="524"/>
      <c r="G12" s="872" t="str">
        <f>IF(G10="","",INDEX(HDPersistence,MATCH(G10,HVACandDHW,0)))</f>
        <v/>
      </c>
      <c r="H12" s="872"/>
      <c r="I12" s="524"/>
      <c r="J12" s="872" t="str">
        <f>IF(J10="","",INDEX(HDPersistence,MATCH(J10,HVACandDHW,0)))</f>
        <v/>
      </c>
      <c r="K12" s="872"/>
      <c r="L12" s="524"/>
      <c r="M12" s="872" t="str">
        <f>IF(M10="","",INDEX(HDPersistence,MATCH(M10,HVACandDHW,0)))</f>
        <v/>
      </c>
      <c r="N12" s="872"/>
      <c r="O12" s="524"/>
      <c r="P12" s="872" t="str">
        <f>IF(P10="","",INDEX(HDPersistence,MATCH(P10,HVACandDHW,0)))</f>
        <v/>
      </c>
      <c r="Q12" s="872"/>
      <c r="R12" s="524"/>
      <c r="S12" s="897" t="e">
        <f>SUMPRODUCT(D12:P12,D42:P42)/SUM(D42:P42)</f>
        <v>#DIV/0!</v>
      </c>
      <c r="T12" s="897"/>
    </row>
    <row r="13" spans="1:21" ht="21.75" customHeight="1" x14ac:dyDescent="0.2">
      <c r="A13" s="200"/>
      <c r="B13" s="447"/>
      <c r="C13" s="546"/>
      <c r="D13" s="507" t="s">
        <v>1</v>
      </c>
      <c r="E13" s="507" t="s">
        <v>624</v>
      </c>
      <c r="F13" s="507"/>
      <c r="G13" s="507" t="s">
        <v>1</v>
      </c>
      <c r="H13" s="507" t="s">
        <v>624</v>
      </c>
      <c r="I13" s="507"/>
      <c r="J13" s="507" t="s">
        <v>1</v>
      </c>
      <c r="K13" s="507" t="s">
        <v>624</v>
      </c>
      <c r="L13" s="507"/>
      <c r="M13" s="507" t="s">
        <v>1</v>
      </c>
      <c r="N13" s="507" t="s">
        <v>624</v>
      </c>
      <c r="O13" s="507"/>
      <c r="P13" s="507" t="s">
        <v>1</v>
      </c>
      <c r="Q13" s="507" t="s">
        <v>624</v>
      </c>
      <c r="R13" s="507"/>
      <c r="S13" s="507" t="s">
        <v>1</v>
      </c>
      <c r="T13" s="507" t="s">
        <v>624</v>
      </c>
    </row>
    <row r="14" spans="1:21" s="202" customFormat="1" ht="18.75" customHeight="1" x14ac:dyDescent="0.2">
      <c r="A14" s="564" t="s">
        <v>696</v>
      </c>
      <c r="B14" s="564"/>
      <c r="C14" s="564"/>
      <c r="D14" s="565">
        <f>IF(D11="Yes",1,0)</f>
        <v>0</v>
      </c>
      <c r="E14" s="565">
        <f>IF(D11="Yes",1,0)</f>
        <v>0</v>
      </c>
      <c r="F14" s="565"/>
      <c r="G14" s="565">
        <f t="shared" ref="G14" si="0">IF(G11="Yes",1,0)</f>
        <v>0</v>
      </c>
      <c r="H14" s="565">
        <f t="shared" ref="H14" si="1">IF(G11="Yes",1,0)</f>
        <v>0</v>
      </c>
      <c r="I14" s="565"/>
      <c r="J14" s="565">
        <f t="shared" ref="J14" si="2">IF(J11="Yes",1,0)</f>
        <v>0</v>
      </c>
      <c r="K14" s="565">
        <f t="shared" ref="K14" si="3">IF(J11="Yes",1,0)</f>
        <v>0</v>
      </c>
      <c r="L14" s="565"/>
      <c r="M14" s="565">
        <f t="shared" ref="M14" si="4">IF(M11="Yes",1,0)</f>
        <v>0</v>
      </c>
      <c r="N14" s="565">
        <f t="shared" ref="N14" si="5">IF(M11="Yes",1,0)</f>
        <v>0</v>
      </c>
      <c r="O14" s="565"/>
      <c r="P14" s="565">
        <f t="shared" ref="P14" si="6">IF(P11="Yes",1,0)</f>
        <v>0</v>
      </c>
      <c r="Q14" s="565">
        <f t="shared" ref="Q14" si="7">IF(P11="Yes",1,0)</f>
        <v>0</v>
      </c>
      <c r="R14" s="565"/>
      <c r="S14" s="564"/>
      <c r="T14" s="564"/>
      <c r="U14" s="201"/>
    </row>
    <row r="15" spans="1:21" s="203" customFormat="1" x14ac:dyDescent="0.2">
      <c r="A15" s="560" t="s">
        <v>628</v>
      </c>
      <c r="B15" s="561" t="s">
        <v>505</v>
      </c>
      <c r="C15" s="538"/>
      <c r="D15" s="549"/>
      <c r="E15" s="549"/>
      <c r="F15" s="609"/>
      <c r="G15" s="549"/>
      <c r="H15" s="549"/>
      <c r="I15" s="609"/>
      <c r="J15" s="549"/>
      <c r="K15" s="549"/>
      <c r="L15" s="609"/>
      <c r="M15" s="549"/>
      <c r="N15" s="549"/>
      <c r="O15" s="609"/>
      <c r="P15" s="549"/>
      <c r="Q15" s="549"/>
      <c r="R15" s="609"/>
      <c r="S15" s="562">
        <f>D$14*D15+G$14*G15+J$14*J15+M$14*M15+P$14*P15</f>
        <v>0</v>
      </c>
      <c r="T15" s="562">
        <f>E$14*E15+H$14*H15+K$14*K15+N$14*N15+Q$14*Q15</f>
        <v>0</v>
      </c>
      <c r="U15" s="460" t="str">
        <f t="shared" ref="U15:U21" si="8">A15</f>
        <v>HVAC (electric) excluding energy saving effect if applicable</v>
      </c>
    </row>
    <row r="16" spans="1:21" s="202" customFormat="1" x14ac:dyDescent="0.2">
      <c r="A16" s="204" t="s">
        <v>629</v>
      </c>
      <c r="B16" s="205" t="s">
        <v>646</v>
      </c>
      <c r="C16" s="539"/>
      <c r="D16" s="506"/>
      <c r="E16" s="506"/>
      <c r="F16" s="528"/>
      <c r="G16" s="506"/>
      <c r="H16" s="506"/>
      <c r="I16" s="528"/>
      <c r="J16" s="506"/>
      <c r="K16" s="506"/>
      <c r="L16" s="528"/>
      <c r="M16" s="506"/>
      <c r="N16" s="506"/>
      <c r="O16" s="528"/>
      <c r="P16" s="506"/>
      <c r="Q16" s="506"/>
      <c r="R16" s="528"/>
      <c r="S16" s="559">
        <f t="shared" ref="S16:S21" si="9">D$14*D16+G$14*G16+J$14*J16+M$14*M16+P$14*P16</f>
        <v>0</v>
      </c>
      <c r="T16" s="559">
        <f t="shared" ref="T16:T21" si="10">E$14*E16+H$14*H16+K$14*K16+N$14*N16+Q$14*Q16</f>
        <v>0</v>
      </c>
      <c r="U16" s="201" t="str">
        <f t="shared" si="8"/>
        <v>HVAC (Fuel)</v>
      </c>
    </row>
    <row r="17" spans="1:21" s="203" customFormat="1" x14ac:dyDescent="0.2">
      <c r="A17" s="455" t="s">
        <v>630</v>
      </c>
      <c r="B17" s="454" t="s">
        <v>505</v>
      </c>
      <c r="C17" s="538"/>
      <c r="D17" s="505"/>
      <c r="E17" s="505"/>
      <c r="F17" s="609"/>
      <c r="G17" s="505"/>
      <c r="H17" s="505"/>
      <c r="I17" s="609"/>
      <c r="J17" s="505"/>
      <c r="K17" s="505"/>
      <c r="L17" s="609"/>
      <c r="M17" s="505"/>
      <c r="N17" s="505"/>
      <c r="O17" s="609"/>
      <c r="P17" s="505"/>
      <c r="Q17" s="505"/>
      <c r="R17" s="609"/>
      <c r="S17" s="558">
        <f t="shared" si="9"/>
        <v>0</v>
      </c>
      <c r="T17" s="558">
        <f t="shared" si="10"/>
        <v>0</v>
      </c>
      <c r="U17" s="460" t="str">
        <f t="shared" si="8"/>
        <v>DHW (electric) excluding energy saving effect if applicable</v>
      </c>
    </row>
    <row r="18" spans="1:21" s="202" customFormat="1" x14ac:dyDescent="0.2">
      <c r="A18" s="204" t="s">
        <v>631</v>
      </c>
      <c r="B18" s="206" t="s">
        <v>646</v>
      </c>
      <c r="C18" s="539"/>
      <c r="D18" s="506"/>
      <c r="E18" s="506"/>
      <c r="F18" s="528"/>
      <c r="G18" s="506"/>
      <c r="H18" s="506"/>
      <c r="I18" s="528"/>
      <c r="J18" s="506"/>
      <c r="K18" s="506"/>
      <c r="L18" s="528"/>
      <c r="M18" s="506"/>
      <c r="N18" s="506"/>
      <c r="O18" s="528"/>
      <c r="P18" s="506"/>
      <c r="Q18" s="506"/>
      <c r="R18" s="528"/>
      <c r="S18" s="559">
        <f t="shared" si="9"/>
        <v>0</v>
      </c>
      <c r="T18" s="559">
        <f t="shared" si="10"/>
        <v>0</v>
      </c>
      <c r="U18" s="201" t="str">
        <f t="shared" si="8"/>
        <v>DHW (Fuel)</v>
      </c>
    </row>
    <row r="19" spans="1:21" s="203" customFormat="1" x14ac:dyDescent="0.2">
      <c r="A19" s="455" t="s">
        <v>861</v>
      </c>
      <c r="B19" s="454" t="s">
        <v>505</v>
      </c>
      <c r="C19" s="538"/>
      <c r="D19" s="505"/>
      <c r="E19" s="505"/>
      <c r="F19" s="609"/>
      <c r="G19" s="505"/>
      <c r="H19" s="505"/>
      <c r="I19" s="609"/>
      <c r="J19" s="505"/>
      <c r="K19" s="505"/>
      <c r="L19" s="609"/>
      <c r="M19" s="505"/>
      <c r="N19" s="505"/>
      <c r="O19" s="609"/>
      <c r="P19" s="505"/>
      <c r="Q19" s="505"/>
      <c r="R19" s="609"/>
      <c r="S19" s="558">
        <f t="shared" ref="S19:S20" si="11">D$14*D19+G$14*G19+J$14*J19+M$14*M19+P$14*P19</f>
        <v>0</v>
      </c>
      <c r="T19" s="558">
        <f t="shared" ref="T19:T20" si="12">E$14*E19+H$14*H19+K$14*K19+N$14*N19+Q$14*Q19</f>
        <v>0</v>
      </c>
      <c r="U19" s="460" t="str">
        <f t="shared" ref="U19:U20" si="13">A19</f>
        <v>Process Load (electric) excluding energy saving effect if applicable</v>
      </c>
    </row>
    <row r="20" spans="1:21" s="202" customFormat="1" x14ac:dyDescent="0.2">
      <c r="A20" s="204" t="s">
        <v>862</v>
      </c>
      <c r="B20" s="206" t="s">
        <v>646</v>
      </c>
      <c r="C20" s="539"/>
      <c r="D20" s="506"/>
      <c r="E20" s="506"/>
      <c r="F20" s="528"/>
      <c r="G20" s="506"/>
      <c r="H20" s="506"/>
      <c r="I20" s="528"/>
      <c r="J20" s="506"/>
      <c r="K20" s="506"/>
      <c r="L20" s="528"/>
      <c r="M20" s="506"/>
      <c r="N20" s="506"/>
      <c r="O20" s="528"/>
      <c r="P20" s="506"/>
      <c r="Q20" s="506"/>
      <c r="R20" s="528"/>
      <c r="S20" s="559">
        <f t="shared" si="11"/>
        <v>0</v>
      </c>
      <c r="T20" s="559">
        <f t="shared" si="12"/>
        <v>0</v>
      </c>
      <c r="U20" s="201" t="str">
        <f t="shared" si="13"/>
        <v>Process Load (Fuel)</v>
      </c>
    </row>
    <row r="21" spans="1:21" s="202" customFormat="1" x14ac:dyDescent="0.2">
      <c r="A21" s="591" t="s">
        <v>763</v>
      </c>
      <c r="B21" s="592" t="s">
        <v>505</v>
      </c>
      <c r="C21" s="538"/>
      <c r="D21" s="509"/>
      <c r="E21" s="548"/>
      <c r="F21" s="609"/>
      <c r="G21" s="509"/>
      <c r="H21" s="548"/>
      <c r="I21" s="609"/>
      <c r="J21" s="509"/>
      <c r="K21" s="548"/>
      <c r="L21" s="609"/>
      <c r="M21" s="509"/>
      <c r="N21" s="548"/>
      <c r="O21" s="609"/>
      <c r="P21" s="509"/>
      <c r="Q21" s="548"/>
      <c r="R21" s="609"/>
      <c r="S21" s="593">
        <f t="shared" si="9"/>
        <v>0</v>
      </c>
      <c r="T21" s="593">
        <f t="shared" si="10"/>
        <v>0</v>
      </c>
      <c r="U21" s="460" t="str">
        <f t="shared" si="8"/>
        <v>Electric energy savings (negative number) caused by LCE measure</v>
      </c>
    </row>
    <row r="22" spans="1:21" s="202" customFormat="1" ht="18.75" customHeight="1" x14ac:dyDescent="0.2">
      <c r="A22" s="564" t="s">
        <v>663</v>
      </c>
      <c r="B22" s="564"/>
      <c r="C22" s="564"/>
      <c r="D22" s="565"/>
      <c r="E22" s="565"/>
      <c r="F22" s="565"/>
      <c r="G22" s="565"/>
      <c r="H22" s="565"/>
      <c r="I22" s="565"/>
      <c r="J22" s="565"/>
      <c r="K22" s="565"/>
      <c r="L22" s="565"/>
      <c r="M22" s="565"/>
      <c r="N22" s="565"/>
      <c r="O22" s="565"/>
      <c r="P22" s="565"/>
      <c r="Q22" s="565"/>
      <c r="R22" s="565"/>
      <c r="S22" s="564"/>
      <c r="T22" s="564"/>
      <c r="U22" s="201"/>
    </row>
    <row r="23" spans="1:21" s="203" customFormat="1" x14ac:dyDescent="0.2">
      <c r="A23" s="563" t="s">
        <v>485</v>
      </c>
      <c r="B23" s="561" t="s">
        <v>505</v>
      </c>
      <c r="C23" s="538"/>
      <c r="D23" s="615">
        <f>SUMIF($B$15:$B$21,$B23,D15:D21)</f>
        <v>0</v>
      </c>
      <c r="E23" s="615">
        <f>SUMIF($B$15:$B$21,$B23,E15:E21)</f>
        <v>0</v>
      </c>
      <c r="F23" s="525"/>
      <c r="G23" s="562">
        <f>SUMIF($B$15:$B$21,$B23,G15:G21)</f>
        <v>0</v>
      </c>
      <c r="H23" s="562">
        <f>SUMIF($B$15:$B$21,$B23,H15:H21)</f>
        <v>0</v>
      </c>
      <c r="I23" s="525"/>
      <c r="J23" s="562">
        <f>SUMIF($B$15:$B$21,$B23,J15:J21)</f>
        <v>0</v>
      </c>
      <c r="K23" s="562">
        <f>SUMIF($B$15:$B$21,$B23,K15:K21)</f>
        <v>0</v>
      </c>
      <c r="L23" s="525"/>
      <c r="M23" s="562">
        <f>SUMIF($B$15:$B$21,$B23,M15:M21)</f>
        <v>0</v>
      </c>
      <c r="N23" s="562">
        <f>SUMIF($B$15:$B$21,$B23,N15:N21)</f>
        <v>0</v>
      </c>
      <c r="O23" s="525"/>
      <c r="P23" s="562">
        <f>SUMIF($B$15:$B$21,$B23,P15:P21)</f>
        <v>0</v>
      </c>
      <c r="Q23" s="562">
        <f>SUMIF($B$15:$B$21,$B23,Q15:Q21)</f>
        <v>0</v>
      </c>
      <c r="R23" s="525"/>
      <c r="S23" s="562">
        <f>SUMIF($B$15:$B$21,$B23,S15:S21)</f>
        <v>0</v>
      </c>
      <c r="T23" s="562">
        <f>SUMIF($B$15:$B$21,$B23,T15:T21)</f>
        <v>0</v>
      </c>
      <c r="U23" s="460" t="str">
        <f t="shared" ref="U23:U29" si="14">A23</f>
        <v>Total Electric Energy Use</v>
      </c>
    </row>
    <row r="24" spans="1:21" s="203" customFormat="1" x14ac:dyDescent="0.2">
      <c r="A24" s="461" t="s">
        <v>358</v>
      </c>
      <c r="B24" s="454" t="s">
        <v>8</v>
      </c>
      <c r="C24" s="538"/>
      <c r="D24" s="505"/>
      <c r="E24" s="505"/>
      <c r="F24" s="609"/>
      <c r="G24" s="505"/>
      <c r="H24" s="505"/>
      <c r="I24" s="609"/>
      <c r="J24" s="505"/>
      <c r="K24" s="505"/>
      <c r="L24" s="609"/>
      <c r="M24" s="505"/>
      <c r="N24" s="505"/>
      <c r="O24" s="609"/>
      <c r="P24" s="505"/>
      <c r="Q24" s="505"/>
      <c r="R24" s="609"/>
      <c r="S24" s="558">
        <f t="shared" ref="S24:S25" si="15">D$14*D24+G$14*G24+J$14*J24+M$14*M24+P$14*P24</f>
        <v>0</v>
      </c>
      <c r="T24" s="558">
        <f t="shared" ref="T24:T25" si="16">E$14*E24+H$14*H24+K$14*K24+N$14*N24+Q$14*Q24</f>
        <v>0</v>
      </c>
      <c r="U24" s="460" t="str">
        <f t="shared" si="14"/>
        <v>Annual peak demand</v>
      </c>
    </row>
    <row r="25" spans="1:21" s="203" customFormat="1" x14ac:dyDescent="0.2">
      <c r="A25" s="461" t="s">
        <v>486</v>
      </c>
      <c r="B25" s="454" t="s">
        <v>653</v>
      </c>
      <c r="C25" s="538"/>
      <c r="D25" s="505"/>
      <c r="E25" s="505"/>
      <c r="F25" s="609"/>
      <c r="G25" s="505"/>
      <c r="H25" s="505"/>
      <c r="I25" s="609"/>
      <c r="J25" s="505"/>
      <c r="K25" s="505"/>
      <c r="L25" s="609"/>
      <c r="M25" s="505"/>
      <c r="N25" s="505"/>
      <c r="O25" s="609"/>
      <c r="P25" s="505"/>
      <c r="Q25" s="505"/>
      <c r="R25" s="609"/>
      <c r="S25" s="558">
        <f t="shared" si="15"/>
        <v>0</v>
      </c>
      <c r="T25" s="558">
        <f t="shared" si="16"/>
        <v>0</v>
      </c>
      <c r="U25" s="460" t="str">
        <f t="shared" si="14"/>
        <v>Electricity Average Monthly Peak Demand</v>
      </c>
    </row>
    <row r="26" spans="1:21" x14ac:dyDescent="0.2">
      <c r="A26" s="207" t="s">
        <v>487</v>
      </c>
      <c r="B26" s="208"/>
      <c r="C26" s="547"/>
      <c r="D26" s="573">
        <f>'1.0 Pre-Screen'!H41</f>
        <v>0</v>
      </c>
      <c r="E26" s="573">
        <f>D26</f>
        <v>0</v>
      </c>
      <c r="F26" s="569"/>
      <c r="G26" s="573">
        <f>E26</f>
        <v>0</v>
      </c>
      <c r="H26" s="573">
        <f t="shared" ref="H26:T26" si="17">G26</f>
        <v>0</v>
      </c>
      <c r="I26" s="569"/>
      <c r="J26" s="573">
        <f>H26</f>
        <v>0</v>
      </c>
      <c r="K26" s="573">
        <f t="shared" si="17"/>
        <v>0</v>
      </c>
      <c r="L26" s="569"/>
      <c r="M26" s="573">
        <f>K26</f>
        <v>0</v>
      </c>
      <c r="N26" s="573">
        <f t="shared" si="17"/>
        <v>0</v>
      </c>
      <c r="O26" s="569"/>
      <c r="P26" s="573">
        <f>N26</f>
        <v>0</v>
      </c>
      <c r="Q26" s="573">
        <f t="shared" si="17"/>
        <v>0</v>
      </c>
      <c r="R26" s="510"/>
      <c r="S26" s="566">
        <f>Q26</f>
        <v>0</v>
      </c>
      <c r="T26" s="566">
        <f t="shared" si="17"/>
        <v>0</v>
      </c>
      <c r="U26" s="209" t="str">
        <f t="shared" si="14"/>
        <v>Electricity Rate</v>
      </c>
    </row>
    <row r="27" spans="1:21" x14ac:dyDescent="0.2">
      <c r="A27" s="207" t="s">
        <v>488</v>
      </c>
      <c r="B27" s="208" t="s">
        <v>234</v>
      </c>
      <c r="C27" s="547"/>
      <c r="D27" s="570">
        <f>IFERROR(VLOOKUP(D26,Variables!$AI$2:$AK$5,2)*D23+VLOOKUP(D26,Variables!$AI$2:$AK$5,3)*D25*12,0)</f>
        <v>0</v>
      </c>
      <c r="E27" s="570">
        <f>IFERROR(VLOOKUP(E26,Variables!$AI$2:$AK$5,2)*E23+VLOOKUP(E26,Variables!$AI$2:$AK$5,3)*E25*12,0)</f>
        <v>0</v>
      </c>
      <c r="F27" s="571"/>
      <c r="G27" s="570">
        <f>IFERROR(VLOOKUP(G26,Variables!$AI$2:$AK$5,2)*G23+VLOOKUP(G26,Variables!$AI$2:$AK$5,3)*G25*12,0)</f>
        <v>0</v>
      </c>
      <c r="H27" s="570">
        <f>IFERROR(VLOOKUP(H26,Variables!$AI$2:$AK$5,2)*H23+VLOOKUP(H26,Variables!$AI$2:$AK$5,3)*H25*12,0)</f>
        <v>0</v>
      </c>
      <c r="I27" s="571"/>
      <c r="J27" s="570">
        <f>IFERROR(VLOOKUP(J26,Variables!$AI$2:$AK$5,2)*J23+VLOOKUP(J26,Variables!$AI$2:$AK$5,3)*J25*12,0)</f>
        <v>0</v>
      </c>
      <c r="K27" s="570">
        <f>IFERROR(VLOOKUP(K26,Variables!$AI$2:$AK$5,2)*K23+VLOOKUP(K26,Variables!$AI$2:$AK$5,3)*K25*12,0)</f>
        <v>0</v>
      </c>
      <c r="L27" s="571"/>
      <c r="M27" s="570">
        <f>IFERROR(VLOOKUP(M26,Variables!$AI$2:$AK$5,2)*M23+VLOOKUP(M26,Variables!$AI$2:$AK$5,3)*M25*12,0)</f>
        <v>0</v>
      </c>
      <c r="N27" s="570">
        <f>IFERROR(VLOOKUP(N26,Variables!$AI$2:$AK$5,2)*N23+VLOOKUP(N26,Variables!$AI$2:$AK$5,3)*N25*12,0)</f>
        <v>0</v>
      </c>
      <c r="O27" s="571"/>
      <c r="P27" s="570">
        <f>IFERROR(VLOOKUP(P26,Variables!$AI$2:$AK$5,2)*P23+VLOOKUP(P26,Variables!$AI$2:$AK$5,3)*P25*12,0)</f>
        <v>0</v>
      </c>
      <c r="Q27" s="570">
        <f>IFERROR(VLOOKUP(Q26,Variables!$AI$2:$AK$5,2)*Q23+VLOOKUP(Q26,Variables!$AI$2:$AK$5,3)*Q25*12,0)</f>
        <v>0</v>
      </c>
      <c r="R27" s="512"/>
      <c r="S27" s="567">
        <f>IFERROR(VLOOKUP(S26,Variables!$AI$2:$AK$5,2)*S23+VLOOKUP(S26,Variables!$AI$2:$AK$5,3)*S25*12,0)</f>
        <v>0</v>
      </c>
      <c r="T27" s="567">
        <f>IFERROR(VLOOKUP(T26,Variables!$AI$2:$AK$5,2)*T23+VLOOKUP(T26,Variables!$AI$2:$AK$5,3)*T25*12,0)</f>
        <v>0</v>
      </c>
      <c r="U27" s="209" t="str">
        <f t="shared" si="14"/>
        <v>Electricity Cost per Year</v>
      </c>
    </row>
    <row r="28" spans="1:21" s="213" customFormat="1" x14ac:dyDescent="0.2">
      <c r="A28" s="210" t="s">
        <v>489</v>
      </c>
      <c r="B28" s="211" t="s">
        <v>45</v>
      </c>
      <c r="C28" s="540"/>
      <c r="D28" s="568">
        <f>Variables!BV3</f>
        <v>9.6999999999999993</v>
      </c>
      <c r="E28" s="568">
        <f>$D$28</f>
        <v>9.6999999999999993</v>
      </c>
      <c r="F28" s="572"/>
      <c r="G28" s="568">
        <f>$D$28</f>
        <v>9.6999999999999993</v>
      </c>
      <c r="H28" s="568">
        <f>$D$28</f>
        <v>9.6999999999999993</v>
      </c>
      <c r="I28" s="572"/>
      <c r="J28" s="568">
        <f>$D$28</f>
        <v>9.6999999999999993</v>
      </c>
      <c r="K28" s="568">
        <f>$D$28</f>
        <v>9.6999999999999993</v>
      </c>
      <c r="L28" s="572"/>
      <c r="M28" s="568">
        <f>$D$28</f>
        <v>9.6999999999999993</v>
      </c>
      <c r="N28" s="568">
        <f>$D$28</f>
        <v>9.6999999999999993</v>
      </c>
      <c r="O28" s="572"/>
      <c r="P28" s="568">
        <f>$D$28</f>
        <v>9.6999999999999993</v>
      </c>
      <c r="Q28" s="568">
        <f>$D$28</f>
        <v>9.6999999999999993</v>
      </c>
      <c r="R28" s="526"/>
      <c r="S28" s="568">
        <f>$D$28</f>
        <v>9.6999999999999993</v>
      </c>
      <c r="T28" s="568">
        <f>$D$28</f>
        <v>9.6999999999999993</v>
      </c>
      <c r="U28" s="212" t="str">
        <f t="shared" si="14"/>
        <v>E_Factor</v>
      </c>
    </row>
    <row r="29" spans="1:21" s="213" customFormat="1" x14ac:dyDescent="0.2">
      <c r="A29" s="215" t="s">
        <v>490</v>
      </c>
      <c r="B29" s="216" t="s">
        <v>654</v>
      </c>
      <c r="C29" s="540"/>
      <c r="D29" s="589">
        <f t="shared" ref="D29:T29" si="18">D23*D28/1000000</f>
        <v>0</v>
      </c>
      <c r="E29" s="589">
        <f t="shared" si="18"/>
        <v>0</v>
      </c>
      <c r="F29" s="590"/>
      <c r="G29" s="589">
        <f t="shared" si="18"/>
        <v>0</v>
      </c>
      <c r="H29" s="589">
        <f t="shared" si="18"/>
        <v>0</v>
      </c>
      <c r="I29" s="590"/>
      <c r="J29" s="589">
        <f t="shared" si="18"/>
        <v>0</v>
      </c>
      <c r="K29" s="589">
        <f t="shared" si="18"/>
        <v>0</v>
      </c>
      <c r="L29" s="590"/>
      <c r="M29" s="589">
        <f t="shared" si="18"/>
        <v>0</v>
      </c>
      <c r="N29" s="589">
        <f t="shared" si="18"/>
        <v>0</v>
      </c>
      <c r="O29" s="590"/>
      <c r="P29" s="589">
        <f t="shared" si="18"/>
        <v>0</v>
      </c>
      <c r="Q29" s="589">
        <f t="shared" si="18"/>
        <v>0</v>
      </c>
      <c r="R29" s="527"/>
      <c r="S29" s="589">
        <f t="shared" si="18"/>
        <v>0</v>
      </c>
      <c r="T29" s="589">
        <f t="shared" si="18"/>
        <v>0</v>
      </c>
      <c r="U29" s="212" t="str">
        <f t="shared" si="14"/>
        <v>GHG emissions</v>
      </c>
    </row>
    <row r="30" spans="1:21" s="202" customFormat="1" ht="18.75" customHeight="1" x14ac:dyDescent="0.2">
      <c r="A30" s="564" t="s">
        <v>864</v>
      </c>
      <c r="B30" s="564"/>
      <c r="C30" s="564"/>
      <c r="D30" s="565"/>
      <c r="E30" s="565"/>
      <c r="F30" s="565"/>
      <c r="G30" s="565"/>
      <c r="H30" s="565"/>
      <c r="I30" s="565"/>
      <c r="J30" s="565"/>
      <c r="K30" s="565"/>
      <c r="L30" s="565"/>
      <c r="M30" s="565"/>
      <c r="N30" s="565"/>
      <c r="O30" s="565"/>
      <c r="P30" s="565"/>
      <c r="Q30" s="565"/>
      <c r="R30" s="565"/>
      <c r="S30" s="564"/>
      <c r="T30" s="564"/>
      <c r="U30" s="201"/>
    </row>
    <row r="31" spans="1:21" s="202" customFormat="1" x14ac:dyDescent="0.2">
      <c r="A31" s="601" t="s">
        <v>15</v>
      </c>
      <c r="B31" s="205"/>
      <c r="C31" s="539"/>
      <c r="D31" s="602" t="s">
        <v>339</v>
      </c>
      <c r="E31" s="602" t="s">
        <v>339</v>
      </c>
      <c r="F31" s="528"/>
      <c r="G31" s="602"/>
      <c r="H31" s="602"/>
      <c r="I31" s="528"/>
      <c r="J31" s="602"/>
      <c r="K31" s="602"/>
      <c r="L31" s="528"/>
      <c r="M31" s="602"/>
      <c r="N31" s="602"/>
      <c r="O31" s="528"/>
      <c r="P31" s="602"/>
      <c r="Q31" s="602"/>
      <c r="R31" s="528"/>
      <c r="S31" s="508"/>
      <c r="T31" s="508"/>
      <c r="U31" s="201" t="str">
        <f t="shared" ref="U31:U36" si="19">A31</f>
        <v>Fuel Type</v>
      </c>
    </row>
    <row r="32" spans="1:21" s="202" customFormat="1" x14ac:dyDescent="0.2">
      <c r="A32" s="214" t="s">
        <v>10</v>
      </c>
      <c r="B32" s="206" t="s">
        <v>646</v>
      </c>
      <c r="C32" s="539"/>
      <c r="D32" s="555">
        <f>SUMIF($B$15:$B$21,$B32,D15:D21)</f>
        <v>0</v>
      </c>
      <c r="E32" s="555">
        <f>SUMIF($B$15:$B$21,$B32,E15:E21)</f>
        <v>0</v>
      </c>
      <c r="F32" s="528"/>
      <c r="G32" s="555">
        <f>SUMIF($B$15:$B$21,$B32,G15:G21)</f>
        <v>0</v>
      </c>
      <c r="H32" s="555">
        <f>SUMIF($B$15:$B$21,$B32,H15:H21)</f>
        <v>0</v>
      </c>
      <c r="I32" s="528"/>
      <c r="J32" s="555">
        <f>SUMIF($B$15:$B$21,$B32,J15:J21)</f>
        <v>0</v>
      </c>
      <c r="K32" s="555">
        <f>SUMIF($B$15:$B$21,$B32,K15:K21)</f>
        <v>0</v>
      </c>
      <c r="L32" s="528"/>
      <c r="M32" s="555">
        <f>SUMIF($B$15:$B$21,$B32,M15:M21)</f>
        <v>0</v>
      </c>
      <c r="N32" s="555">
        <f>SUMIF($B$15:$B$21,$B32,N15:N21)</f>
        <v>0</v>
      </c>
      <c r="O32" s="528"/>
      <c r="P32" s="555">
        <f>SUMIF($B$15:$B$21,$B32,P15:P21)</f>
        <v>0</v>
      </c>
      <c r="Q32" s="555">
        <f>SUMIF($B$15:$B$21,$B32,Q15:Q21)</f>
        <v>0</v>
      </c>
      <c r="R32" s="528"/>
      <c r="S32" s="559">
        <f>SUMIF($B$15:$B$21,$B32,S15:S21)</f>
        <v>0</v>
      </c>
      <c r="T32" s="559">
        <f>SUMIF($B$15:$B$21,$B32,T15:T21)</f>
        <v>0</v>
      </c>
      <c r="U32" s="201" t="str">
        <f t="shared" si="19"/>
        <v>Quantity</v>
      </c>
    </row>
    <row r="33" spans="1:21" x14ac:dyDescent="0.2">
      <c r="A33" s="207" t="s">
        <v>492</v>
      </c>
      <c r="B33" s="208" t="s">
        <v>655</v>
      </c>
      <c r="C33" s="547"/>
      <c r="D33" s="574"/>
      <c r="E33" s="574"/>
      <c r="F33" s="610"/>
      <c r="G33" s="574"/>
      <c r="H33" s="574"/>
      <c r="I33" s="610"/>
      <c r="J33" s="574"/>
      <c r="K33" s="574"/>
      <c r="L33" s="610"/>
      <c r="M33" s="574"/>
      <c r="N33" s="574"/>
      <c r="O33" s="610"/>
      <c r="P33" s="574"/>
      <c r="Q33" s="574"/>
      <c r="R33" s="610"/>
      <c r="S33" s="575" t="e">
        <f>S34/S32</f>
        <v>#DIV/0!</v>
      </c>
      <c r="T33" s="575" t="str">
        <f>IF(T32=0,"N/A",T34/T32)</f>
        <v>N/A</v>
      </c>
      <c r="U33" s="209" t="str">
        <f t="shared" si="19"/>
        <v xml:space="preserve">Fuel Rate </v>
      </c>
    </row>
    <row r="34" spans="1:21" x14ac:dyDescent="0.2">
      <c r="A34" s="207" t="s">
        <v>493</v>
      </c>
      <c r="B34" s="208" t="s">
        <v>234</v>
      </c>
      <c r="C34" s="547"/>
      <c r="D34" s="556">
        <f>IF(D31="",0,D32*D33)</f>
        <v>0</v>
      </c>
      <c r="E34" s="556">
        <f t="shared" ref="E34:Q34" si="20">IF(E31="",0,E32*E33)</f>
        <v>0</v>
      </c>
      <c r="F34" s="512"/>
      <c r="G34" s="556">
        <f t="shared" si="20"/>
        <v>0</v>
      </c>
      <c r="H34" s="556">
        <f t="shared" si="20"/>
        <v>0</v>
      </c>
      <c r="I34" s="512"/>
      <c r="J34" s="556">
        <f t="shared" si="20"/>
        <v>0</v>
      </c>
      <c r="K34" s="556">
        <f t="shared" si="20"/>
        <v>0</v>
      </c>
      <c r="L34" s="512"/>
      <c r="M34" s="556">
        <f t="shared" si="20"/>
        <v>0</v>
      </c>
      <c r="N34" s="556">
        <f t="shared" si="20"/>
        <v>0</v>
      </c>
      <c r="O34" s="512"/>
      <c r="P34" s="556">
        <f t="shared" si="20"/>
        <v>0</v>
      </c>
      <c r="Q34" s="556">
        <f t="shared" si="20"/>
        <v>0</v>
      </c>
      <c r="R34" s="512"/>
      <c r="S34" s="567">
        <f>D$14*D34+G$14*G34+J$14*J34+M$14*M34+P$14*P34</f>
        <v>0</v>
      </c>
      <c r="T34" s="567">
        <f>E$14*E34+H$14*H34+K$14*K34+N$14*N34+Q$14*Q34</f>
        <v>0</v>
      </c>
      <c r="U34" s="209" t="str">
        <f t="shared" si="19"/>
        <v>Fuel Cost per Year</v>
      </c>
    </row>
    <row r="35" spans="1:21" s="213" customFormat="1" x14ac:dyDescent="0.2">
      <c r="A35" s="210" t="s">
        <v>489</v>
      </c>
      <c r="B35" s="211" t="s">
        <v>46</v>
      </c>
      <c r="C35" s="540"/>
      <c r="D35" s="696">
        <f>IFERROR(INDEX(Table139[CO2e],MATCH(D31,Table139[Fuel Type],0)),"")</f>
        <v>49.87</v>
      </c>
      <c r="E35" s="696">
        <f>IFERROR(INDEX(Table139[CO2e],MATCH(E31,Table139[Fuel Type],0)),"")</f>
        <v>49.87</v>
      </c>
      <c r="F35" s="697"/>
      <c r="G35" s="696" t="str">
        <f>IFERROR(INDEX(Table139[CO2e],MATCH(G31,Table139[Fuel Type],0)),"")</f>
        <v/>
      </c>
      <c r="H35" s="696" t="str">
        <f>IFERROR(INDEX(Table139[CO2e],MATCH(H31,Table139[Fuel Type],0)),"")</f>
        <v/>
      </c>
      <c r="I35" s="697"/>
      <c r="J35" s="696" t="str">
        <f>IFERROR(INDEX(Table139[CO2e],MATCH(J31,Table139[Fuel Type],0)),"")</f>
        <v/>
      </c>
      <c r="K35" s="696" t="str">
        <f>IFERROR(INDEX(Table139[CO2e],MATCH(K31,Table139[Fuel Type],0)),"")</f>
        <v/>
      </c>
      <c r="L35" s="697"/>
      <c r="M35" s="696" t="str">
        <f>IFERROR(INDEX(Table139[CO2e],MATCH(M31,Table139[Fuel Type],0)),"")</f>
        <v/>
      </c>
      <c r="N35" s="696" t="str">
        <f>IFERROR(INDEX(Table139[CO2e],MATCH(N31,Table139[Fuel Type],0)),"")</f>
        <v/>
      </c>
      <c r="O35" s="697"/>
      <c r="P35" s="696" t="str">
        <f>IFERROR(INDEX(Table139[CO2e],MATCH(P31,Table139[Fuel Type],0)),"")</f>
        <v/>
      </c>
      <c r="Q35" s="696" t="str">
        <f>IFERROR(INDEX(Table139[CO2e],MATCH(Q31,Table139[Fuel Type],0)),"")</f>
        <v/>
      </c>
      <c r="R35" s="529"/>
      <c r="S35" s="576" t="e">
        <f>1000*S36/S32</f>
        <v>#DIV/0!</v>
      </c>
      <c r="T35" s="576" t="str">
        <f>IF(T32=0,"N/A",1000*T36/T32)</f>
        <v>N/A</v>
      </c>
      <c r="U35" s="212" t="str">
        <f t="shared" si="19"/>
        <v>E_Factor</v>
      </c>
    </row>
    <row r="36" spans="1:21" s="213" customFormat="1" x14ac:dyDescent="0.2">
      <c r="A36" s="215" t="s">
        <v>490</v>
      </c>
      <c r="B36" s="216" t="s">
        <v>654</v>
      </c>
      <c r="C36" s="540"/>
      <c r="D36" s="557">
        <f>IFERROR(D35*D32/1000,0)</f>
        <v>0</v>
      </c>
      <c r="E36" s="557">
        <f t="shared" ref="E36:Q36" si="21">IFERROR(E35*E32/1000,0)</f>
        <v>0</v>
      </c>
      <c r="F36" s="527"/>
      <c r="G36" s="557">
        <f t="shared" si="21"/>
        <v>0</v>
      </c>
      <c r="H36" s="557">
        <f t="shared" si="21"/>
        <v>0</v>
      </c>
      <c r="I36" s="527"/>
      <c r="J36" s="557">
        <f t="shared" si="21"/>
        <v>0</v>
      </c>
      <c r="K36" s="557">
        <f t="shared" si="21"/>
        <v>0</v>
      </c>
      <c r="L36" s="527"/>
      <c r="M36" s="557">
        <f t="shared" si="21"/>
        <v>0</v>
      </c>
      <c r="N36" s="557">
        <f t="shared" si="21"/>
        <v>0</v>
      </c>
      <c r="O36" s="527"/>
      <c r="P36" s="557">
        <f t="shared" si="21"/>
        <v>0</v>
      </c>
      <c r="Q36" s="557">
        <f t="shared" si="21"/>
        <v>0</v>
      </c>
      <c r="R36" s="527"/>
      <c r="S36" s="589">
        <f t="shared" ref="S36" si="22">D$14*D36+G$14*G36+J$14*J36+M$14*M36+P$14*P36</f>
        <v>0</v>
      </c>
      <c r="T36" s="589">
        <f t="shared" ref="T36" si="23">E$14*E36+H$14*H36+K$14*K36+N$14*N36+Q$14*Q36</f>
        <v>0</v>
      </c>
      <c r="U36" s="212" t="str">
        <f t="shared" si="19"/>
        <v>GHG emissions</v>
      </c>
    </row>
    <row r="37" spans="1:21" s="202" customFormat="1" ht="22.5" customHeight="1" x14ac:dyDescent="0.2">
      <c r="A37" s="605" t="s">
        <v>638</v>
      </c>
      <c r="B37" s="582"/>
      <c r="C37" s="582"/>
      <c r="D37" s="582"/>
      <c r="E37" s="582"/>
      <c r="F37" s="582"/>
      <c r="G37" s="582"/>
      <c r="H37" s="582"/>
      <c r="I37" s="582"/>
      <c r="J37" s="582"/>
      <c r="K37" s="582"/>
      <c r="L37" s="582"/>
      <c r="M37" s="582"/>
      <c r="N37" s="582"/>
      <c r="O37" s="582"/>
      <c r="P37" s="582"/>
      <c r="Q37" s="582"/>
      <c r="R37" s="582"/>
      <c r="S37" s="582"/>
      <c r="T37" s="582"/>
      <c r="U37" s="201"/>
    </row>
    <row r="38" spans="1:21" s="203" customFormat="1" x14ac:dyDescent="0.2">
      <c r="A38" s="603" t="s">
        <v>494</v>
      </c>
      <c r="B38" s="604" t="s">
        <v>505</v>
      </c>
      <c r="C38" s="538"/>
      <c r="D38" s="873" t="str">
        <f>IF(D11="No","",E23-D23)</f>
        <v/>
      </c>
      <c r="E38" s="874"/>
      <c r="F38" s="516"/>
      <c r="G38" s="873" t="str">
        <f>IF(G11="No","",H23-G23)</f>
        <v/>
      </c>
      <c r="H38" s="874"/>
      <c r="I38" s="516"/>
      <c r="J38" s="873" t="str">
        <f>IF(J11="No","",K23-J23)</f>
        <v/>
      </c>
      <c r="K38" s="874"/>
      <c r="L38" s="516"/>
      <c r="M38" s="873" t="str">
        <f>IF(M11="No","",N23-M23)</f>
        <v/>
      </c>
      <c r="N38" s="874"/>
      <c r="O38" s="516"/>
      <c r="P38" s="873" t="str">
        <f>IF(P11="No","",Q23-P23)</f>
        <v/>
      </c>
      <c r="Q38" s="874"/>
      <c r="R38" s="516"/>
      <c r="S38" s="873">
        <f>T23-S23</f>
        <v>0</v>
      </c>
      <c r="T38" s="874"/>
      <c r="U38" s="460" t="str">
        <f t="shared" ref="U38:U43" si="24">A38</f>
        <v xml:space="preserve">Net Incremental Electrical Energy </v>
      </c>
    </row>
    <row r="39" spans="1:21" s="203" customFormat="1" x14ac:dyDescent="0.2">
      <c r="A39" s="462" t="s">
        <v>652</v>
      </c>
      <c r="B39" s="463" t="s">
        <v>8</v>
      </c>
      <c r="C39" s="538"/>
      <c r="D39" s="860" t="str">
        <f>IF(D11="No","",E24-D24)</f>
        <v/>
      </c>
      <c r="E39" s="861"/>
      <c r="F39" s="516"/>
      <c r="G39" s="860" t="str">
        <f>IF(G11="No","",H24-G24)</f>
        <v/>
      </c>
      <c r="H39" s="861"/>
      <c r="I39" s="516"/>
      <c r="J39" s="860" t="str">
        <f>IF(J11="No","",K24-J24)</f>
        <v/>
      </c>
      <c r="K39" s="861"/>
      <c r="L39" s="516"/>
      <c r="M39" s="860" t="str">
        <f>IF(M11="No","",N24-M24)</f>
        <v/>
      </c>
      <c r="N39" s="861"/>
      <c r="O39" s="516"/>
      <c r="P39" s="860" t="str">
        <f>IF(P11="No","",Q24-P24)</f>
        <v/>
      </c>
      <c r="Q39" s="861"/>
      <c r="R39" s="516"/>
      <c r="S39" s="860">
        <f>T24-S24</f>
        <v>0</v>
      </c>
      <c r="T39" s="861"/>
      <c r="U39" s="460" t="str">
        <f t="shared" si="24"/>
        <v>Net Incremental Electrical Annual Peak Demand</v>
      </c>
    </row>
    <row r="40" spans="1:21" s="203" customFormat="1" x14ac:dyDescent="0.2">
      <c r="A40" s="462" t="s">
        <v>826</v>
      </c>
      <c r="B40" s="463" t="s">
        <v>8</v>
      </c>
      <c r="C40" s="538"/>
      <c r="D40" s="860" t="str">
        <f>IF(D11="No","",E25-D25)</f>
        <v/>
      </c>
      <c r="E40" s="861"/>
      <c r="F40" s="516"/>
      <c r="G40" s="860" t="str">
        <f>IF(G11="No","",H25-G25)</f>
        <v/>
      </c>
      <c r="H40" s="861"/>
      <c r="I40" s="516"/>
      <c r="J40" s="860" t="str">
        <f>IF(J11="No","",K25-J25)</f>
        <v/>
      </c>
      <c r="K40" s="861"/>
      <c r="L40" s="516"/>
      <c r="M40" s="860" t="str">
        <f>IF(M11="No","",N25-M25)</f>
        <v/>
      </c>
      <c r="N40" s="861"/>
      <c r="O40" s="516"/>
      <c r="P40" s="860" t="str">
        <f>IF(P11="No","",Q25-P25)</f>
        <v/>
      </c>
      <c r="Q40" s="861"/>
      <c r="R40" s="516"/>
      <c r="S40" s="860">
        <f>T25-S25</f>
        <v>0</v>
      </c>
      <c r="T40" s="861"/>
      <c r="U40" s="460" t="str">
        <f t="shared" si="24"/>
        <v>Net Incremental Electrical Average Monthly Peak Demand</v>
      </c>
    </row>
    <row r="41" spans="1:21" s="202" customFormat="1" x14ac:dyDescent="0.2">
      <c r="A41" s="217" t="s">
        <v>495</v>
      </c>
      <c r="B41" s="218" t="str">
        <f>B16</f>
        <v>GJ / year</v>
      </c>
      <c r="C41" s="539"/>
      <c r="D41" s="889" t="str">
        <f>IF(D11="No","",E32-D32)</f>
        <v/>
      </c>
      <c r="E41" s="890"/>
      <c r="F41" s="517"/>
      <c r="G41" s="889" t="str">
        <f>IF(G11="No","",H32-G32)</f>
        <v/>
      </c>
      <c r="H41" s="890"/>
      <c r="I41" s="517"/>
      <c r="J41" s="889" t="str">
        <f>IF(J11="No","",K32-J32)</f>
        <v/>
      </c>
      <c r="K41" s="890"/>
      <c r="L41" s="517"/>
      <c r="M41" s="889" t="str">
        <f>IF(M11="No","",N32-M32)</f>
        <v/>
      </c>
      <c r="N41" s="890"/>
      <c r="O41" s="517"/>
      <c r="P41" s="889" t="str">
        <f>IF(P11="No","",Q32-P32)</f>
        <v/>
      </c>
      <c r="Q41" s="890"/>
      <c r="R41" s="517"/>
      <c r="S41" s="889">
        <f>T32-S32</f>
        <v>0</v>
      </c>
      <c r="T41" s="890"/>
      <c r="U41" s="201" t="str">
        <f t="shared" si="24"/>
        <v>Net Incremental Fuel Consumption</v>
      </c>
    </row>
    <row r="42" spans="1:21" s="213" customFormat="1" x14ac:dyDescent="0.2">
      <c r="A42" s="219" t="s">
        <v>496</v>
      </c>
      <c r="B42" s="220" t="s">
        <v>654</v>
      </c>
      <c r="C42" s="540"/>
      <c r="D42" s="891" t="str">
        <f>IF(D11="No","",E29+E36-D29-D36)</f>
        <v/>
      </c>
      <c r="E42" s="892"/>
      <c r="F42" s="518"/>
      <c r="G42" s="891" t="str">
        <f>IF(G11="No","",H29+H36-G29-G36)</f>
        <v/>
      </c>
      <c r="H42" s="892"/>
      <c r="I42" s="518"/>
      <c r="J42" s="891" t="str">
        <f>IF(J11="No","",K29+K36-J29-J36)</f>
        <v/>
      </c>
      <c r="K42" s="892"/>
      <c r="L42" s="518"/>
      <c r="M42" s="891" t="str">
        <f>IF(M11="No","",N29+N36-M29-M36)</f>
        <v/>
      </c>
      <c r="N42" s="892"/>
      <c r="O42" s="518"/>
      <c r="P42" s="891" t="str">
        <f>IF(P11="No","",Q29+Q36-P29-P36)</f>
        <v/>
      </c>
      <c r="Q42" s="892"/>
      <c r="R42" s="518"/>
      <c r="S42" s="918">
        <f>T29+T36-S29-S36</f>
        <v>0</v>
      </c>
      <c r="T42" s="919"/>
      <c r="U42" s="212" t="str">
        <f t="shared" si="24"/>
        <v>Net Incremental GHG Emissions</v>
      </c>
    </row>
    <row r="43" spans="1:21" s="213" customFormat="1" x14ac:dyDescent="0.2">
      <c r="A43" s="456" t="s">
        <v>640</v>
      </c>
      <c r="B43" s="457" t="s">
        <v>491</v>
      </c>
      <c r="C43" s="540"/>
      <c r="F43" s="520"/>
      <c r="I43" s="520"/>
      <c r="L43" s="520"/>
      <c r="O43" s="520"/>
      <c r="Q43" s="588" t="e">
        <f>IF(-S43&lt;1200,"Project may not qualify for incentive as GHG reduction must be equal or greater than 1200 tC02e.","")</f>
        <v>#DIV/0!</v>
      </c>
      <c r="R43" s="537"/>
      <c r="S43" s="895" t="e">
        <f>S42*S12</f>
        <v>#DIV/0!</v>
      </c>
      <c r="T43" s="896"/>
      <c r="U43" s="212" t="str">
        <f t="shared" si="24"/>
        <v>Net Incremental GHG Emissions Over Project Life</v>
      </c>
    </row>
    <row r="44" spans="1:21" s="202" customFormat="1" ht="18.75" customHeight="1" x14ac:dyDescent="0.2">
      <c r="A44" s="564" t="s">
        <v>636</v>
      </c>
      <c r="B44" s="564"/>
      <c r="C44" s="564"/>
      <c r="D44" s="565"/>
      <c r="E44" s="565"/>
      <c r="F44" s="565"/>
      <c r="G44" s="565"/>
      <c r="H44" s="565"/>
      <c r="I44" s="565"/>
      <c r="J44" s="565"/>
      <c r="K44" s="565"/>
      <c r="L44" s="565"/>
      <c r="M44" s="565"/>
      <c r="N44" s="565"/>
      <c r="O44" s="565"/>
      <c r="P44" s="565"/>
      <c r="Q44" s="565"/>
      <c r="R44" s="565"/>
      <c r="S44" s="564"/>
      <c r="T44" s="564"/>
      <c r="U44" s="201"/>
    </row>
    <row r="45" spans="1:21" s="203" customFormat="1" ht="25.5" x14ac:dyDescent="0.2">
      <c r="A45" s="227" t="s">
        <v>656</v>
      </c>
      <c r="B45" s="224" t="s">
        <v>233</v>
      </c>
      <c r="C45" s="510"/>
      <c r="D45" s="599"/>
      <c r="E45" s="599"/>
      <c r="F45" s="512"/>
      <c r="G45" s="599"/>
      <c r="H45" s="599"/>
      <c r="I45" s="512"/>
      <c r="J45" s="599"/>
      <c r="K45" s="599"/>
      <c r="L45" s="512"/>
      <c r="M45" s="599"/>
      <c r="N45" s="599"/>
      <c r="O45" s="512"/>
      <c r="P45" s="599"/>
      <c r="Q45" s="599"/>
      <c r="R45" s="512"/>
      <c r="S45" s="600">
        <f>D$14*D45+G$14*G45+J$14*J45+M$14*M45+P$14*P45</f>
        <v>0</v>
      </c>
      <c r="T45" s="600">
        <f>E$14*E45+H$14*H45+K$14*K45+N$14*N45+Q$14*Q45</f>
        <v>0</v>
      </c>
      <c r="U45" s="197" t="str">
        <f>A45</f>
        <v>Equipment (End of life replacement cost if applicable for both HVAC and DHW)</v>
      </c>
    </row>
    <row r="46" spans="1:21" s="203" customFormat="1" x14ac:dyDescent="0.2">
      <c r="A46" s="221" t="s">
        <v>872</v>
      </c>
      <c r="B46" s="222" t="s">
        <v>233</v>
      </c>
      <c r="C46" s="510"/>
      <c r="D46" s="578"/>
      <c r="E46" s="578"/>
      <c r="F46" s="512"/>
      <c r="G46" s="578"/>
      <c r="H46" s="578"/>
      <c r="I46" s="512"/>
      <c r="J46" s="578"/>
      <c r="K46" s="578"/>
      <c r="L46" s="512"/>
      <c r="M46" s="578"/>
      <c r="N46" s="578"/>
      <c r="O46" s="512"/>
      <c r="P46" s="578"/>
      <c r="Q46" s="578"/>
      <c r="R46" s="512"/>
      <c r="S46" s="567">
        <f t="shared" ref="S46" si="25">D$14*D46+G$14*G46+J$14*J46+M$14*M46+P$14*P46</f>
        <v>0</v>
      </c>
      <c r="T46" s="567">
        <f t="shared" ref="T46:T47" si="26">E$14*E46+H$14*H46+K$14*K46+N$14*N46+Q$14*Q46</f>
        <v>0</v>
      </c>
      <c r="U46" s="197" t="str">
        <f t="shared" ref="U46:U47" si="27">A46</f>
        <v>Labour plus Engineering</v>
      </c>
    </row>
    <row r="47" spans="1:21" s="203" customFormat="1" x14ac:dyDescent="0.2">
      <c r="A47" s="221" t="s">
        <v>635</v>
      </c>
      <c r="B47" s="222" t="s">
        <v>233</v>
      </c>
      <c r="C47" s="510"/>
      <c r="D47" s="577"/>
      <c r="E47" s="577"/>
      <c r="F47" s="512"/>
      <c r="G47" s="577"/>
      <c r="H47" s="577"/>
      <c r="I47" s="512"/>
      <c r="J47" s="577"/>
      <c r="K47" s="577"/>
      <c r="L47" s="512"/>
      <c r="M47" s="577"/>
      <c r="N47" s="577"/>
      <c r="O47" s="512"/>
      <c r="P47" s="577"/>
      <c r="Q47" s="577"/>
      <c r="R47" s="512"/>
      <c r="S47" s="567">
        <f>D$14*D47+G$14*G47+J$14*J47+M$14*M47+P$14*P47</f>
        <v>0</v>
      </c>
      <c r="T47" s="567">
        <f t="shared" si="26"/>
        <v>0</v>
      </c>
      <c r="U47" s="197" t="str">
        <f t="shared" si="27"/>
        <v>Commissioning and Training</v>
      </c>
    </row>
    <row r="48" spans="1:21" s="203" customFormat="1" x14ac:dyDescent="0.2">
      <c r="A48" s="221" t="s">
        <v>723</v>
      </c>
      <c r="B48" s="222" t="s">
        <v>233</v>
      </c>
      <c r="C48" s="510"/>
      <c r="D48" s="512"/>
      <c r="E48" s="512"/>
      <c r="F48" s="512"/>
      <c r="G48" s="512"/>
      <c r="H48" s="512"/>
      <c r="I48" s="512"/>
      <c r="J48" s="512"/>
      <c r="K48" s="512"/>
      <c r="L48" s="512"/>
      <c r="M48" s="512"/>
      <c r="N48" s="512"/>
      <c r="O48" s="512"/>
      <c r="P48" s="512"/>
      <c r="Q48" s="512"/>
      <c r="R48" s="512"/>
      <c r="S48" s="511"/>
      <c r="T48" s="577"/>
      <c r="U48" s="197" t="str">
        <f>A48</f>
        <v>Proposed Electrical Service Upgrade Cost (ie. Interconnections)</v>
      </c>
    </row>
    <row r="49" spans="1:22" x14ac:dyDescent="0.2">
      <c r="A49" s="584" t="s">
        <v>625</v>
      </c>
      <c r="B49" s="585" t="s">
        <v>233</v>
      </c>
      <c r="C49" s="541"/>
      <c r="D49" s="586">
        <f t="shared" ref="D49:T49" si="28">SUM(D45:D47,D48)</f>
        <v>0</v>
      </c>
      <c r="E49" s="586">
        <f t="shared" si="28"/>
        <v>0</v>
      </c>
      <c r="F49" s="530"/>
      <c r="G49" s="586">
        <f t="shared" si="28"/>
        <v>0</v>
      </c>
      <c r="H49" s="586">
        <f t="shared" si="28"/>
        <v>0</v>
      </c>
      <c r="I49" s="530"/>
      <c r="J49" s="586">
        <f>SUM(J45:J47,J48)</f>
        <v>0</v>
      </c>
      <c r="K49" s="586">
        <f t="shared" si="28"/>
        <v>0</v>
      </c>
      <c r="L49" s="530"/>
      <c r="M49" s="586">
        <f t="shared" si="28"/>
        <v>0</v>
      </c>
      <c r="N49" s="586">
        <f t="shared" si="28"/>
        <v>0</v>
      </c>
      <c r="O49" s="530"/>
      <c r="P49" s="586">
        <f t="shared" si="28"/>
        <v>0</v>
      </c>
      <c r="Q49" s="586">
        <f t="shared" si="28"/>
        <v>0</v>
      </c>
      <c r="R49" s="530"/>
      <c r="S49" s="587">
        <f t="shared" si="28"/>
        <v>0</v>
      </c>
      <c r="T49" s="587">
        <f t="shared" si="28"/>
        <v>0</v>
      </c>
      <c r="U49" s="223" t="s">
        <v>626</v>
      </c>
    </row>
    <row r="50" spans="1:22" s="202" customFormat="1" ht="18.75" customHeight="1" x14ac:dyDescent="0.2">
      <c r="A50" s="564" t="s">
        <v>471</v>
      </c>
      <c r="B50" s="564"/>
      <c r="C50" s="564"/>
      <c r="D50" s="565"/>
      <c r="E50" s="565"/>
      <c r="F50" s="565"/>
      <c r="G50" s="565"/>
      <c r="H50" s="565"/>
      <c r="I50" s="565"/>
      <c r="J50" s="565"/>
      <c r="K50" s="565"/>
      <c r="L50" s="565"/>
      <c r="M50" s="565"/>
      <c r="N50" s="565"/>
      <c r="O50" s="565"/>
      <c r="P50" s="565"/>
      <c r="Q50" s="565"/>
      <c r="R50" s="565"/>
      <c r="S50" s="564"/>
      <c r="T50" s="564"/>
      <c r="U50" s="201"/>
    </row>
    <row r="51" spans="1:22" x14ac:dyDescent="0.2">
      <c r="A51" s="594" t="s">
        <v>634</v>
      </c>
      <c r="B51" s="595" t="s">
        <v>234</v>
      </c>
      <c r="C51" s="510"/>
      <c r="D51" s="596"/>
      <c r="E51" s="596"/>
      <c r="F51" s="512"/>
      <c r="G51" s="596"/>
      <c r="H51" s="596"/>
      <c r="I51" s="512"/>
      <c r="J51" s="596"/>
      <c r="K51" s="596"/>
      <c r="L51" s="512"/>
      <c r="M51" s="596"/>
      <c r="N51" s="596"/>
      <c r="O51" s="512"/>
      <c r="P51" s="596"/>
      <c r="Q51" s="596"/>
      <c r="R51" s="512"/>
      <c r="S51" s="597">
        <f t="shared" ref="S51" si="29">D$14*D51+G$14*G51+J$14*J51+M$14*M51+P$14*P51</f>
        <v>0</v>
      </c>
      <c r="T51" s="597">
        <f t="shared" ref="T51" si="30">E$14*E51+H$14*H51+K$14*K51+N$14*N51+Q$14*Q51</f>
        <v>0</v>
      </c>
      <c r="U51" s="223"/>
    </row>
    <row r="52" spans="1:22" s="202" customFormat="1" ht="18.75" customHeight="1" x14ac:dyDescent="0.2">
      <c r="A52" s="564" t="s">
        <v>637</v>
      </c>
      <c r="B52" s="564"/>
      <c r="C52" s="564"/>
      <c r="D52" s="565"/>
      <c r="E52" s="565"/>
      <c r="F52" s="565"/>
      <c r="G52" s="565"/>
      <c r="H52" s="565"/>
      <c r="I52" s="565"/>
      <c r="J52" s="565"/>
      <c r="K52" s="565"/>
      <c r="L52" s="565"/>
      <c r="M52" s="565"/>
      <c r="N52" s="565"/>
      <c r="O52" s="565"/>
      <c r="P52" s="565"/>
      <c r="Q52" s="565"/>
      <c r="R52" s="565"/>
      <c r="S52" s="564"/>
      <c r="T52" s="564"/>
      <c r="U52" s="201"/>
    </row>
    <row r="53" spans="1:22" x14ac:dyDescent="0.2">
      <c r="A53" s="598" t="s">
        <v>350</v>
      </c>
      <c r="B53" s="614"/>
      <c r="C53" s="613"/>
      <c r="D53" s="920" t="str">
        <f>IF(OR(D11="No",D42&gt;0),"",-1*$B$53*D12*D42)</f>
        <v/>
      </c>
      <c r="E53" s="921"/>
      <c r="F53" s="513"/>
      <c r="G53" s="920" t="str">
        <f>IF(OR(G11="No",G42&gt;0),"",-1*$B$53*G12*G42)</f>
        <v/>
      </c>
      <c r="H53" s="921"/>
      <c r="I53" s="513"/>
      <c r="J53" s="920" t="str">
        <f>IF(OR(J11="No",J42&gt;0),"",-1*$B$53*J12*J42)</f>
        <v/>
      </c>
      <c r="K53" s="921"/>
      <c r="L53" s="513"/>
      <c r="M53" s="920" t="str">
        <f>IF(OR(M11="No",M42&gt;0),"",-1*$B$53*M12*M42)</f>
        <v/>
      </c>
      <c r="N53" s="921"/>
      <c r="O53" s="513"/>
      <c r="P53" s="920" t="str">
        <f>IF(OR(P11="No",P42&gt;0),"",-1*$B$53*P12*P42)</f>
        <v/>
      </c>
      <c r="Q53" s="921"/>
      <c r="R53" s="513"/>
      <c r="S53" s="922" t="e">
        <f>IF(S42&gt;0,"",-1*$B$53*S12*S42)</f>
        <v>#DIV/0!</v>
      </c>
      <c r="T53" s="923"/>
      <c r="U53" s="223" t="str">
        <f>A53</f>
        <v>Carbon Tax Credits (Over Project Life @ $X/tonne)</v>
      </c>
    </row>
    <row r="54" spans="1:22" x14ac:dyDescent="0.2">
      <c r="A54" s="221" t="s">
        <v>641</v>
      </c>
      <c r="B54" s="224" t="s">
        <v>234</v>
      </c>
      <c r="C54" s="510"/>
      <c r="D54" s="908"/>
      <c r="E54" s="909"/>
      <c r="F54" s="513"/>
      <c r="G54" s="908"/>
      <c r="H54" s="909"/>
      <c r="I54" s="513"/>
      <c r="J54" s="908"/>
      <c r="K54" s="909"/>
      <c r="L54" s="513"/>
      <c r="M54" s="908"/>
      <c r="N54" s="909"/>
      <c r="O54" s="513"/>
      <c r="P54" s="908"/>
      <c r="Q54" s="909"/>
      <c r="R54" s="513"/>
      <c r="S54" s="912">
        <f t="shared" ref="S54" si="31">D$14*D54+G$14*G54+J$14*J54+M$14*M54+P$14*P54</f>
        <v>0</v>
      </c>
      <c r="T54" s="913"/>
      <c r="U54" s="223" t="str">
        <f>A54</f>
        <v>Annual non-energy benefits or detriments (Water conservation, etc.)</v>
      </c>
    </row>
    <row r="55" spans="1:22" x14ac:dyDescent="0.2">
      <c r="A55" s="221" t="s">
        <v>611</v>
      </c>
      <c r="B55" s="222" t="s">
        <v>233</v>
      </c>
      <c r="C55" s="510"/>
      <c r="D55" s="907"/>
      <c r="E55" s="907"/>
      <c r="F55" s="513"/>
      <c r="G55" s="907"/>
      <c r="H55" s="907"/>
      <c r="I55" s="513"/>
      <c r="J55" s="907"/>
      <c r="K55" s="907"/>
      <c r="L55" s="513"/>
      <c r="M55" s="907"/>
      <c r="N55" s="907"/>
      <c r="O55" s="513"/>
      <c r="P55" s="907"/>
      <c r="Q55" s="907"/>
      <c r="R55" s="513"/>
      <c r="S55" s="908"/>
      <c r="T55" s="909"/>
      <c r="U55" s="223" t="str">
        <f>A55</f>
        <v>3rd Party Funding (one time)</v>
      </c>
    </row>
    <row r="56" spans="1:22" x14ac:dyDescent="0.2">
      <c r="A56" s="458" t="s">
        <v>612</v>
      </c>
      <c r="B56" s="459" t="s">
        <v>233</v>
      </c>
      <c r="C56" s="510"/>
      <c r="D56" s="907"/>
      <c r="E56" s="907"/>
      <c r="F56" s="513"/>
      <c r="G56" s="907"/>
      <c r="H56" s="907"/>
      <c r="I56" s="513"/>
      <c r="J56" s="907"/>
      <c r="K56" s="907"/>
      <c r="L56" s="513"/>
      <c r="M56" s="907"/>
      <c r="N56" s="907"/>
      <c r="O56" s="513"/>
      <c r="P56" s="907"/>
      <c r="Q56" s="907"/>
      <c r="R56" s="513"/>
      <c r="S56" s="908"/>
      <c r="T56" s="909"/>
      <c r="U56" s="223" t="str">
        <f>A56</f>
        <v>Other Benefit (one time)</v>
      </c>
    </row>
    <row r="57" spans="1:22" ht="21.75" customHeight="1" x14ac:dyDescent="0.2">
      <c r="A57" s="581" t="s">
        <v>639</v>
      </c>
      <c r="B57" s="582"/>
      <c r="C57" s="582"/>
      <c r="D57" s="582"/>
      <c r="E57" s="582"/>
      <c r="F57" s="582"/>
      <c r="G57" s="582"/>
      <c r="H57" s="582"/>
      <c r="I57" s="582"/>
      <c r="J57" s="582"/>
      <c r="K57" s="582"/>
      <c r="L57" s="582"/>
      <c r="M57" s="582"/>
      <c r="N57" s="582"/>
      <c r="O57" s="582"/>
      <c r="P57" s="582"/>
      <c r="Q57" s="582"/>
      <c r="R57" s="582"/>
      <c r="S57" s="583"/>
      <c r="T57" s="583"/>
      <c r="U57" s="212"/>
      <c r="V57" s="212"/>
    </row>
    <row r="58" spans="1:22" x14ac:dyDescent="0.2">
      <c r="A58" s="579" t="s">
        <v>497</v>
      </c>
      <c r="B58" s="580" t="s">
        <v>233</v>
      </c>
      <c r="C58" s="541"/>
      <c r="D58" s="880" t="str">
        <f>IF(D11="No","",E49-D49)</f>
        <v/>
      </c>
      <c r="E58" s="881"/>
      <c r="F58" s="514"/>
      <c r="G58" s="880" t="str">
        <f>IF(G11="No","",H49-G49)</f>
        <v/>
      </c>
      <c r="H58" s="881"/>
      <c r="I58" s="514"/>
      <c r="J58" s="880" t="str">
        <f>IF(J11="No","",K49-J49)</f>
        <v/>
      </c>
      <c r="K58" s="881"/>
      <c r="L58" s="514"/>
      <c r="M58" s="880" t="str">
        <f>IF(M11="No","",N49-M49)</f>
        <v/>
      </c>
      <c r="N58" s="881"/>
      <c r="O58" s="514"/>
      <c r="P58" s="880" t="str">
        <f>IF(P11="No","",Q49-P49)</f>
        <v/>
      </c>
      <c r="Q58" s="881"/>
      <c r="R58" s="514"/>
      <c r="S58" s="880">
        <f>T49-S49</f>
        <v>0</v>
      </c>
      <c r="T58" s="881"/>
      <c r="U58" s="223" t="str">
        <f t="shared" ref="U58:U62" si="32">A58</f>
        <v>Net Incremental Capital Cost</v>
      </c>
    </row>
    <row r="59" spans="1:22" x14ac:dyDescent="0.2">
      <c r="A59" s="225" t="s">
        <v>498</v>
      </c>
      <c r="B59" s="226" t="s">
        <v>234</v>
      </c>
      <c r="C59" s="541"/>
      <c r="D59" s="882" t="str">
        <f>IF(D11="No","",E51-D51)</f>
        <v/>
      </c>
      <c r="E59" s="883"/>
      <c r="F59" s="514"/>
      <c r="G59" s="882" t="str">
        <f>IF(G11="No","",H51-G51)</f>
        <v/>
      </c>
      <c r="H59" s="883"/>
      <c r="I59" s="514"/>
      <c r="J59" s="882" t="str">
        <f>IF(J11="No","",K51-J51)</f>
        <v/>
      </c>
      <c r="K59" s="883"/>
      <c r="L59" s="514"/>
      <c r="M59" s="882" t="str">
        <f>IF(M11="No","",N51-M51)</f>
        <v/>
      </c>
      <c r="N59" s="883"/>
      <c r="O59" s="514"/>
      <c r="P59" s="882" t="str">
        <f>IF(P11="No","",Q51-P51)</f>
        <v/>
      </c>
      <c r="Q59" s="883"/>
      <c r="R59" s="514"/>
      <c r="S59" s="882">
        <f>T51-S51</f>
        <v>0</v>
      </c>
      <c r="T59" s="883"/>
      <c r="U59" s="223" t="str">
        <f t="shared" si="32"/>
        <v xml:space="preserve">Net Incremental O&amp;M Cost </v>
      </c>
    </row>
    <row r="60" spans="1:22" x14ac:dyDescent="0.2">
      <c r="A60" s="225" t="s">
        <v>623</v>
      </c>
      <c r="B60" s="226" t="s">
        <v>234</v>
      </c>
      <c r="C60" s="541"/>
      <c r="D60" s="882" t="str">
        <f>IF(D11="No","",E27+E34-D27-D34)</f>
        <v/>
      </c>
      <c r="E60" s="883"/>
      <c r="F60" s="514"/>
      <c r="G60" s="882" t="str">
        <f>IF(G11="No","",H27+H34-G27-G34)</f>
        <v/>
      </c>
      <c r="H60" s="883"/>
      <c r="I60" s="514"/>
      <c r="J60" s="882" t="str">
        <f>IF(J11="No","",K27+K34-J27-J34)</f>
        <v/>
      </c>
      <c r="K60" s="883"/>
      <c r="L60" s="514"/>
      <c r="M60" s="882" t="str">
        <f>IF(M11="No","",N27+N34-M27-M34)</f>
        <v/>
      </c>
      <c r="N60" s="883"/>
      <c r="O60" s="514"/>
      <c r="P60" s="882" t="str">
        <f>IF(P11="No","",Q27+Q34-P27-P34)</f>
        <v/>
      </c>
      <c r="Q60" s="883"/>
      <c r="R60" s="514"/>
      <c r="S60" s="882">
        <f>T27+T34-S27-S34</f>
        <v>0</v>
      </c>
      <c r="T60" s="883"/>
      <c r="U60" s="223" t="str">
        <f t="shared" si="32"/>
        <v>Net Incremental Energy Cost (Electric + Fuel)</v>
      </c>
    </row>
    <row r="61" spans="1:22" x14ac:dyDescent="0.2">
      <c r="A61" s="225" t="s">
        <v>499</v>
      </c>
      <c r="B61" s="617" t="s">
        <v>500</v>
      </c>
      <c r="C61" s="541"/>
      <c r="D61" s="884" t="str">
        <f>IF(D11="No","",D12)</f>
        <v/>
      </c>
      <c r="E61" s="885"/>
      <c r="F61" s="531"/>
      <c r="G61" s="884" t="str">
        <f>IF(G11="No","",G12)</f>
        <v/>
      </c>
      <c r="H61" s="885"/>
      <c r="I61" s="531"/>
      <c r="J61" s="884" t="str">
        <f>IF(J11="No","",J12)</f>
        <v/>
      </c>
      <c r="K61" s="885"/>
      <c r="L61" s="531"/>
      <c r="M61" s="884" t="str">
        <f>IF(M11="No","",M12)</f>
        <v/>
      </c>
      <c r="N61" s="885"/>
      <c r="O61" s="531"/>
      <c r="P61" s="884" t="str">
        <f>IF(P11="No","",P12)</f>
        <v/>
      </c>
      <c r="Q61" s="885"/>
      <c r="R61" s="531"/>
      <c r="S61" s="884" t="e">
        <f>S12</f>
        <v>#DIV/0!</v>
      </c>
      <c r="T61" s="885"/>
      <c r="U61" s="223" t="str">
        <f t="shared" si="32"/>
        <v xml:space="preserve">Estimated Project Life </v>
      </c>
    </row>
    <row r="62" spans="1:22" x14ac:dyDescent="0.2">
      <c r="A62" s="225" t="s">
        <v>724</v>
      </c>
      <c r="B62" s="617" t="s">
        <v>500</v>
      </c>
      <c r="C62" s="541"/>
      <c r="D62" s="886" t="str">
        <f>IF(D11="No","",IF(D58&lt;0,0,IF(SUM(D59:E60)&gt;0,"No Payback",D58/(-1*D60-D59))))</f>
        <v/>
      </c>
      <c r="E62" s="887"/>
      <c r="F62" s="531"/>
      <c r="G62" s="886" t="str">
        <f>IF(G11="No","",IF(G58&lt;0,0,IF(SUM(G59:H60)&gt;0,"No Payback",G58/(-1*G60-G59))))</f>
        <v/>
      </c>
      <c r="H62" s="887"/>
      <c r="I62" s="531"/>
      <c r="J62" s="886" t="str">
        <f>IF(J11="No","",IF(J58&lt;0,0,IF(SUM(J59:K60)&gt;0,"No Payback",J58/(-1*J60-J59))))</f>
        <v/>
      </c>
      <c r="K62" s="887"/>
      <c r="L62" s="531"/>
      <c r="M62" s="886" t="str">
        <f>IF(M11="No","",IF(M58&lt;0,0,IF(SUM(M59:N60)&gt;0,"No Payback",M58/(-1*M60-M59))))</f>
        <v/>
      </c>
      <c r="N62" s="887"/>
      <c r="O62" s="531"/>
      <c r="P62" s="886" t="str">
        <f>IF(P11="No","",IF(P58&lt;0,0,IF(SUM(P59:Q60)&gt;0,"No Payback",P58/(-1*P60-P59))))</f>
        <v/>
      </c>
      <c r="Q62" s="887"/>
      <c r="R62" s="531"/>
      <c r="S62" s="893" t="e">
        <f>IF(S58&lt;0,0,IF(SUM(S59:T60)&gt;0,"No Payback",S58/(-1*S60-S59)))</f>
        <v>#DIV/0!</v>
      </c>
      <c r="T62" s="894"/>
      <c r="U62" s="223" t="str">
        <f t="shared" si="32"/>
        <v>Simple Payback (without incentive)</v>
      </c>
    </row>
    <row r="63" spans="1:22" x14ac:dyDescent="0.2">
      <c r="T63" s="616" t="e">
        <f>IF(S62&lt;4,"Project may not qualify for incentive as Project simple payback must be greater than 4 years.","")</f>
        <v>#DIV/0!</v>
      </c>
    </row>
    <row r="66" spans="1:20" x14ac:dyDescent="0.2">
      <c r="A66" s="228" t="s">
        <v>501</v>
      </c>
    </row>
    <row r="67" spans="1:20" x14ac:dyDescent="0.2">
      <c r="A67" s="898"/>
      <c r="B67" s="899"/>
      <c r="C67" s="899"/>
      <c r="D67" s="899"/>
      <c r="E67" s="899"/>
      <c r="F67" s="899"/>
      <c r="G67" s="899"/>
      <c r="H67" s="899"/>
      <c r="I67" s="899"/>
      <c r="J67" s="899"/>
      <c r="K67" s="899"/>
      <c r="L67" s="899"/>
      <c r="M67" s="899"/>
      <c r="N67" s="899"/>
      <c r="O67" s="899"/>
      <c r="P67" s="899"/>
      <c r="Q67" s="899"/>
      <c r="R67" s="899"/>
      <c r="S67" s="899"/>
      <c r="T67" s="900"/>
    </row>
    <row r="68" spans="1:20" x14ac:dyDescent="0.2">
      <c r="A68" s="901"/>
      <c r="B68" s="902"/>
      <c r="C68" s="902"/>
      <c r="D68" s="902"/>
      <c r="E68" s="902"/>
      <c r="F68" s="902"/>
      <c r="G68" s="902"/>
      <c r="H68" s="902"/>
      <c r="I68" s="902"/>
      <c r="J68" s="902"/>
      <c r="K68" s="902"/>
      <c r="L68" s="902"/>
      <c r="M68" s="902"/>
      <c r="N68" s="902"/>
      <c r="O68" s="902"/>
      <c r="P68" s="902"/>
      <c r="Q68" s="902"/>
      <c r="R68" s="902"/>
      <c r="S68" s="902"/>
      <c r="T68" s="903"/>
    </row>
    <row r="69" spans="1:20" x14ac:dyDescent="0.2">
      <c r="A69" s="901"/>
      <c r="B69" s="902"/>
      <c r="C69" s="902"/>
      <c r="D69" s="902"/>
      <c r="E69" s="902"/>
      <c r="F69" s="902"/>
      <c r="G69" s="902"/>
      <c r="H69" s="902"/>
      <c r="I69" s="902"/>
      <c r="J69" s="902"/>
      <c r="K69" s="902"/>
      <c r="L69" s="902"/>
      <c r="M69" s="902"/>
      <c r="N69" s="902"/>
      <c r="O69" s="902"/>
      <c r="P69" s="902"/>
      <c r="Q69" s="902"/>
      <c r="R69" s="902"/>
      <c r="S69" s="902"/>
      <c r="T69" s="903"/>
    </row>
    <row r="70" spans="1:20" x14ac:dyDescent="0.2">
      <c r="A70" s="901"/>
      <c r="B70" s="902"/>
      <c r="C70" s="902"/>
      <c r="D70" s="902"/>
      <c r="E70" s="902"/>
      <c r="F70" s="902"/>
      <c r="G70" s="902"/>
      <c r="H70" s="902"/>
      <c r="I70" s="902"/>
      <c r="J70" s="902"/>
      <c r="K70" s="902"/>
      <c r="L70" s="902"/>
      <c r="M70" s="902"/>
      <c r="N70" s="902"/>
      <c r="O70" s="902"/>
      <c r="P70" s="902"/>
      <c r="Q70" s="902"/>
      <c r="R70" s="902"/>
      <c r="S70" s="902"/>
      <c r="T70" s="903"/>
    </row>
    <row r="71" spans="1:20" x14ac:dyDescent="0.2">
      <c r="A71" s="901"/>
      <c r="B71" s="902"/>
      <c r="C71" s="902"/>
      <c r="D71" s="902"/>
      <c r="E71" s="902"/>
      <c r="F71" s="902"/>
      <c r="G71" s="902"/>
      <c r="H71" s="902"/>
      <c r="I71" s="902"/>
      <c r="J71" s="902"/>
      <c r="K71" s="902"/>
      <c r="L71" s="902"/>
      <c r="M71" s="902"/>
      <c r="N71" s="902"/>
      <c r="O71" s="902"/>
      <c r="P71" s="902"/>
      <c r="Q71" s="902"/>
      <c r="R71" s="902"/>
      <c r="S71" s="902"/>
      <c r="T71" s="903"/>
    </row>
    <row r="72" spans="1:20" x14ac:dyDescent="0.2">
      <c r="A72" s="901"/>
      <c r="B72" s="902"/>
      <c r="C72" s="902"/>
      <c r="D72" s="902"/>
      <c r="E72" s="902"/>
      <c r="F72" s="902"/>
      <c r="G72" s="902"/>
      <c r="H72" s="902"/>
      <c r="I72" s="902"/>
      <c r="J72" s="902"/>
      <c r="K72" s="902"/>
      <c r="L72" s="902"/>
      <c r="M72" s="902"/>
      <c r="N72" s="902"/>
      <c r="O72" s="902"/>
      <c r="P72" s="902"/>
      <c r="Q72" s="902"/>
      <c r="R72" s="902"/>
      <c r="S72" s="902"/>
      <c r="T72" s="903"/>
    </row>
    <row r="73" spans="1:20" x14ac:dyDescent="0.2">
      <c r="A73" s="901"/>
      <c r="B73" s="902"/>
      <c r="C73" s="902"/>
      <c r="D73" s="902"/>
      <c r="E73" s="902"/>
      <c r="F73" s="902"/>
      <c r="G73" s="902"/>
      <c r="H73" s="902"/>
      <c r="I73" s="902"/>
      <c r="J73" s="902"/>
      <c r="K73" s="902"/>
      <c r="L73" s="902"/>
      <c r="M73" s="902"/>
      <c r="N73" s="902"/>
      <c r="O73" s="902"/>
      <c r="P73" s="902"/>
      <c r="Q73" s="902"/>
      <c r="R73" s="902"/>
      <c r="S73" s="902"/>
      <c r="T73" s="903"/>
    </row>
    <row r="74" spans="1:20" x14ac:dyDescent="0.2">
      <c r="A74" s="901"/>
      <c r="B74" s="902"/>
      <c r="C74" s="902"/>
      <c r="D74" s="902"/>
      <c r="E74" s="902"/>
      <c r="F74" s="902"/>
      <c r="G74" s="902"/>
      <c r="H74" s="902"/>
      <c r="I74" s="902"/>
      <c r="J74" s="902"/>
      <c r="K74" s="902"/>
      <c r="L74" s="902"/>
      <c r="M74" s="902"/>
      <c r="N74" s="902"/>
      <c r="O74" s="902"/>
      <c r="P74" s="902"/>
      <c r="Q74" s="902"/>
      <c r="R74" s="902"/>
      <c r="S74" s="902"/>
      <c r="T74" s="903"/>
    </row>
    <row r="75" spans="1:20" x14ac:dyDescent="0.2">
      <c r="A75" s="901"/>
      <c r="B75" s="902"/>
      <c r="C75" s="902"/>
      <c r="D75" s="902"/>
      <c r="E75" s="902"/>
      <c r="F75" s="902"/>
      <c r="G75" s="902"/>
      <c r="H75" s="902"/>
      <c r="I75" s="902"/>
      <c r="J75" s="902"/>
      <c r="K75" s="902"/>
      <c r="L75" s="902"/>
      <c r="M75" s="902"/>
      <c r="N75" s="902"/>
      <c r="O75" s="902"/>
      <c r="P75" s="902"/>
      <c r="Q75" s="902"/>
      <c r="R75" s="902"/>
      <c r="S75" s="902"/>
      <c r="T75" s="903"/>
    </row>
    <row r="76" spans="1:20" x14ac:dyDescent="0.2">
      <c r="A76" s="901"/>
      <c r="B76" s="902"/>
      <c r="C76" s="902"/>
      <c r="D76" s="902"/>
      <c r="E76" s="902"/>
      <c r="F76" s="902"/>
      <c r="G76" s="902"/>
      <c r="H76" s="902"/>
      <c r="I76" s="902"/>
      <c r="J76" s="902"/>
      <c r="K76" s="902"/>
      <c r="L76" s="902"/>
      <c r="M76" s="902"/>
      <c r="N76" s="902"/>
      <c r="O76" s="902"/>
      <c r="P76" s="902"/>
      <c r="Q76" s="902"/>
      <c r="R76" s="902"/>
      <c r="S76" s="902"/>
      <c r="T76" s="903"/>
    </row>
    <row r="77" spans="1:20" x14ac:dyDescent="0.2">
      <c r="A77" s="901"/>
      <c r="B77" s="902"/>
      <c r="C77" s="902"/>
      <c r="D77" s="902"/>
      <c r="E77" s="902"/>
      <c r="F77" s="902"/>
      <c r="G77" s="902"/>
      <c r="H77" s="902"/>
      <c r="I77" s="902"/>
      <c r="J77" s="902"/>
      <c r="K77" s="902"/>
      <c r="L77" s="902"/>
      <c r="M77" s="902"/>
      <c r="N77" s="902"/>
      <c r="O77" s="902"/>
      <c r="P77" s="902"/>
      <c r="Q77" s="902"/>
      <c r="R77" s="902"/>
      <c r="S77" s="902"/>
      <c r="T77" s="903"/>
    </row>
    <row r="78" spans="1:20" x14ac:dyDescent="0.2">
      <c r="A78" s="901"/>
      <c r="B78" s="902"/>
      <c r="C78" s="902"/>
      <c r="D78" s="902"/>
      <c r="E78" s="902"/>
      <c r="F78" s="902"/>
      <c r="G78" s="902"/>
      <c r="H78" s="902"/>
      <c r="I78" s="902"/>
      <c r="J78" s="902"/>
      <c r="K78" s="902"/>
      <c r="L78" s="902"/>
      <c r="M78" s="902"/>
      <c r="N78" s="902"/>
      <c r="O78" s="902"/>
      <c r="P78" s="902"/>
      <c r="Q78" s="902"/>
      <c r="R78" s="902"/>
      <c r="S78" s="902"/>
      <c r="T78" s="903"/>
    </row>
    <row r="79" spans="1:20" x14ac:dyDescent="0.2">
      <c r="A79" s="904"/>
      <c r="B79" s="905"/>
      <c r="C79" s="905"/>
      <c r="D79" s="905"/>
      <c r="E79" s="905"/>
      <c r="F79" s="905"/>
      <c r="G79" s="905"/>
      <c r="H79" s="905"/>
      <c r="I79" s="905"/>
      <c r="J79" s="905"/>
      <c r="K79" s="905"/>
      <c r="L79" s="905"/>
      <c r="M79" s="905"/>
      <c r="N79" s="905"/>
      <c r="O79" s="905"/>
      <c r="P79" s="905"/>
      <c r="Q79" s="905"/>
      <c r="R79" s="905"/>
      <c r="S79" s="905"/>
      <c r="T79" s="906"/>
    </row>
  </sheetData>
  <sheetProtection algorithmName="SHA-512" hashValue="5i0b7tUng6S1EUYvXs/5F+JprrL5v1V9x9LpqJ1dFxhbMDnDMlWoA6XdBrFXzUnUA5A3Ekj6RnPFKfTk1n1iNQ==" saltValue="Ne/Ig4qXNRLuR4uw+CFKVQ==" spinCount="100000" sheet="1" objects="1" scenarios="1"/>
  <mergeCells count="126">
    <mergeCell ref="A1:A7"/>
    <mergeCell ref="D54:E54"/>
    <mergeCell ref="G54:H54"/>
    <mergeCell ref="J54:K54"/>
    <mergeCell ref="M54:N54"/>
    <mergeCell ref="P54:Q54"/>
    <mergeCell ref="S54:T54"/>
    <mergeCell ref="B4:E4"/>
    <mergeCell ref="B5:E5"/>
    <mergeCell ref="S42:T42"/>
    <mergeCell ref="D53:E53"/>
    <mergeCell ref="G53:H53"/>
    <mergeCell ref="J53:K53"/>
    <mergeCell ref="M53:N53"/>
    <mergeCell ref="P53:Q53"/>
    <mergeCell ref="S53:T53"/>
    <mergeCell ref="T8:T11"/>
    <mergeCell ref="B8:B12"/>
    <mergeCell ref="D8:E8"/>
    <mergeCell ref="D9:E9"/>
    <mergeCell ref="D10:E10"/>
    <mergeCell ref="D11:E11"/>
    <mergeCell ref="D12:E12"/>
    <mergeCell ref="P40:Q40"/>
    <mergeCell ref="S62:T62"/>
    <mergeCell ref="S43:T43"/>
    <mergeCell ref="S12:T12"/>
    <mergeCell ref="A67:T79"/>
    <mergeCell ref="S58:T58"/>
    <mergeCell ref="S59:T59"/>
    <mergeCell ref="S60:T60"/>
    <mergeCell ref="S61:T61"/>
    <mergeCell ref="M55:N55"/>
    <mergeCell ref="M56:N56"/>
    <mergeCell ref="P55:Q55"/>
    <mergeCell ref="P56:Q56"/>
    <mergeCell ref="S55:T55"/>
    <mergeCell ref="S56:T56"/>
    <mergeCell ref="D55:E55"/>
    <mergeCell ref="D56:E56"/>
    <mergeCell ref="G55:H55"/>
    <mergeCell ref="G56:H56"/>
    <mergeCell ref="J55:K55"/>
    <mergeCell ref="J56:K56"/>
    <mergeCell ref="S38:T38"/>
    <mergeCell ref="S40:T40"/>
    <mergeCell ref="S41:T41"/>
    <mergeCell ref="M42:N42"/>
    <mergeCell ref="P41:Q41"/>
    <mergeCell ref="P42:Q42"/>
    <mergeCell ref="M8:N8"/>
    <mergeCell ref="M9:N9"/>
    <mergeCell ref="M10:N10"/>
    <mergeCell ref="M11:N11"/>
    <mergeCell ref="M12:N12"/>
    <mergeCell ref="P8:Q8"/>
    <mergeCell ref="P9:Q9"/>
    <mergeCell ref="P10:Q10"/>
    <mergeCell ref="P11:Q11"/>
    <mergeCell ref="P12:Q12"/>
    <mergeCell ref="J59:K59"/>
    <mergeCell ref="J60:K60"/>
    <mergeCell ref="M58:N58"/>
    <mergeCell ref="M59:N59"/>
    <mergeCell ref="M60:N60"/>
    <mergeCell ref="S8:S11"/>
    <mergeCell ref="D58:E58"/>
    <mergeCell ref="D59:E59"/>
    <mergeCell ref="D60:E60"/>
    <mergeCell ref="D38:E38"/>
    <mergeCell ref="D40:E40"/>
    <mergeCell ref="D41:E41"/>
    <mergeCell ref="D42:E42"/>
    <mergeCell ref="G38:H38"/>
    <mergeCell ref="G40:H40"/>
    <mergeCell ref="G41:H41"/>
    <mergeCell ref="G42:H42"/>
    <mergeCell ref="J38:K38"/>
    <mergeCell ref="J40:K40"/>
    <mergeCell ref="J41:K41"/>
    <mergeCell ref="J42:K42"/>
    <mergeCell ref="M38:N38"/>
    <mergeCell ref="M40:N40"/>
    <mergeCell ref="M41:N41"/>
    <mergeCell ref="M1:N1"/>
    <mergeCell ref="B1:E1"/>
    <mergeCell ref="P58:Q58"/>
    <mergeCell ref="P59:Q59"/>
    <mergeCell ref="P60:Q60"/>
    <mergeCell ref="D61:E61"/>
    <mergeCell ref="D62:E62"/>
    <mergeCell ref="G61:H61"/>
    <mergeCell ref="G62:H62"/>
    <mergeCell ref="P61:Q61"/>
    <mergeCell ref="P62:Q62"/>
    <mergeCell ref="J61:K61"/>
    <mergeCell ref="J62:K62"/>
    <mergeCell ref="M61:N61"/>
    <mergeCell ref="M62:N62"/>
    <mergeCell ref="G58:H58"/>
    <mergeCell ref="G59:H59"/>
    <mergeCell ref="G60:H60"/>
    <mergeCell ref="J58:K58"/>
    <mergeCell ref="D39:E39"/>
    <mergeCell ref="G39:H39"/>
    <mergeCell ref="J39:K39"/>
    <mergeCell ref="M39:N39"/>
    <mergeCell ref="P39:Q39"/>
    <mergeCell ref="S39:T39"/>
    <mergeCell ref="S5:T5"/>
    <mergeCell ref="S4:T4"/>
    <mergeCell ref="P4:Q4"/>
    <mergeCell ref="P5:Q5"/>
    <mergeCell ref="M4:N4"/>
    <mergeCell ref="M5:N5"/>
    <mergeCell ref="G8:H8"/>
    <mergeCell ref="G9:H9"/>
    <mergeCell ref="G10:H10"/>
    <mergeCell ref="G11:H11"/>
    <mergeCell ref="G12:H12"/>
    <mergeCell ref="J9:K9"/>
    <mergeCell ref="J10:K10"/>
    <mergeCell ref="J8:K8"/>
    <mergeCell ref="J11:K11"/>
    <mergeCell ref="J12:K12"/>
    <mergeCell ref="P38:Q38"/>
  </mergeCells>
  <conditionalFormatting sqref="S43:T43">
    <cfRule type="cellIs" dxfId="2" priority="7" operator="greaterThan">
      <formula>-1200</formula>
    </cfRule>
  </conditionalFormatting>
  <conditionalFormatting sqref="S62:T62">
    <cfRule type="cellIs" dxfId="1" priority="6" operator="lessThan">
      <formula>4</formula>
    </cfRule>
  </conditionalFormatting>
  <dataValidations count="2">
    <dataValidation type="list" allowBlank="1" showInputMessage="1" showErrorMessage="1" sqref="D11 M11 G11 J11 P11" xr:uid="{00000000-0002-0000-0300-000000000000}">
      <formula1>"Yes, No"</formula1>
    </dataValidation>
    <dataValidation type="list" allowBlank="1" showInputMessage="1" showErrorMessage="1" sqref="D10:E10 M10:N10 G10:H10 J10:K10 P10:Q10" xr:uid="{A45FB730-76F2-4063-9ACE-4D8696AF61F1}">
      <formula1>HVACandDHW</formula1>
    </dataValidation>
  </dataValidations>
  <pageMargins left="0.25" right="0.25" top="0.75" bottom="0.75" header="0.3" footer="0.3"/>
  <pageSetup scale="44" orientation="landscape" r:id="rId1"/>
  <headerFooter>
    <oddFooter>&amp;CPage &amp;P of &amp;N&amp;R&amp;G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Variables!$BA$5:$BA$17</xm:f>
          </x14:formula1>
          <xm:sqref>R31 O31 L31 I31 F31</xm:sqref>
        </x14:dataValidation>
        <x14:dataValidation type="list" allowBlank="1" showInputMessage="1" showErrorMessage="1" xr:uid="{F5F4D897-8CA3-4552-91DD-915C661F195E}">
          <x14:formula1>
            <xm:f>Variables!$BA$5:$BA$18</xm:f>
          </x14:formula1>
          <xm:sqref>D31:E31 G31:H31 J31:K31 M31:N31 P31:Q31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0"/>
    <pageSetUpPr fitToPage="1"/>
  </sheetPr>
  <dimension ref="A1:O46"/>
  <sheetViews>
    <sheetView zoomScaleNormal="100" zoomScaleSheetLayoutView="100" workbookViewId="0"/>
  </sheetViews>
  <sheetFormatPr defaultColWidth="0" defaultRowHeight="12.75" zeroHeight="1" x14ac:dyDescent="0.2"/>
  <cols>
    <col min="1" max="1" width="2.85546875" style="236" customWidth="1"/>
    <col min="2" max="2" width="53.28515625" style="236" customWidth="1"/>
    <col min="3" max="3" width="19" style="236" customWidth="1"/>
    <col min="4" max="4" width="14.7109375" style="236" customWidth="1"/>
    <col min="5" max="6" width="17.85546875" style="236" customWidth="1"/>
    <col min="7" max="7" width="30.7109375" style="236" bestFit="1" customWidth="1"/>
    <col min="8" max="9" width="10" style="236" customWidth="1"/>
    <col min="10" max="10" width="2.7109375" style="236" customWidth="1"/>
    <col min="11" max="11" width="17.7109375" style="236" hidden="1" customWidth="1"/>
    <col min="12" max="13" width="8.140625" style="236" hidden="1" customWidth="1"/>
    <col min="14" max="14" width="9.28515625" style="236" hidden="1" customWidth="1"/>
    <col min="15" max="15" width="8.140625" style="236" hidden="1" customWidth="1"/>
    <col min="16" max="16384" width="9.140625" style="236" hidden="1"/>
  </cols>
  <sheetData>
    <row r="1" spans="2:9" ht="15.75" customHeight="1" x14ac:dyDescent="0.2"/>
    <row r="2" spans="2:9" ht="87.75" customHeight="1" x14ac:dyDescent="0.2">
      <c r="B2" s="928" t="s">
        <v>816</v>
      </c>
      <c r="C2" s="929"/>
      <c r="D2" s="929"/>
      <c r="E2" s="929"/>
      <c r="F2" s="929"/>
      <c r="G2" s="929"/>
      <c r="H2" s="807" t="str">
        <f>'1.0 Pre-Screen'!L2</f>
        <v>CleanBC Custom Workbook
Version 3.0
August 2022</v>
      </c>
      <c r="I2" s="807"/>
    </row>
    <row r="3" spans="2:9" ht="14.25" customHeight="1" x14ac:dyDescent="0.2">
      <c r="D3" s="237"/>
      <c r="E3" s="237"/>
      <c r="F3" s="238"/>
    </row>
    <row r="4" spans="2:9" ht="26.25" customHeight="1" x14ac:dyDescent="0.2">
      <c r="C4" s="239" t="s">
        <v>473</v>
      </c>
      <c r="D4" s="405">
        <f>'3.0 Study Results'!M1</f>
        <v>0</v>
      </c>
      <c r="E4" s="654" t="str">
        <f>IF(D4=0,"yyyy-mm-dd","")</f>
        <v>yyyy-mm-dd</v>
      </c>
      <c r="F4" s="240" t="s">
        <v>621</v>
      </c>
      <c r="G4" s="645">
        <f>'3.0 Study Results'!T1</f>
        <v>0</v>
      </c>
      <c r="H4" s="652"/>
      <c r="I4" s="652"/>
    </row>
    <row r="5" spans="2:9" ht="26.25" customHeight="1" x14ac:dyDescent="0.2">
      <c r="B5" s="241" t="s">
        <v>502</v>
      </c>
      <c r="C5" s="930">
        <f>'3.0 Study Results'!B5:B5</f>
        <v>0</v>
      </c>
      <c r="D5" s="930"/>
      <c r="E5" s="930"/>
      <c r="F5" s="930"/>
      <c r="G5" s="930"/>
      <c r="H5" s="653"/>
      <c r="I5" s="648"/>
    </row>
    <row r="6" spans="2:9" ht="26.25" customHeight="1" x14ac:dyDescent="0.2">
      <c r="B6" s="241" t="s">
        <v>503</v>
      </c>
      <c r="C6" s="648">
        <f>'1.0 Pre-Screen'!E8</f>
        <v>0</v>
      </c>
      <c r="D6" s="648"/>
      <c r="E6" s="648"/>
      <c r="F6" s="242" t="s">
        <v>504</v>
      </c>
      <c r="G6" s="646">
        <f>'3.0 Study Results'!H1</f>
        <v>0</v>
      </c>
      <c r="H6" s="651"/>
      <c r="I6" s="648"/>
    </row>
    <row r="7" spans="2:9" ht="26.25" customHeight="1" x14ac:dyDescent="0.2">
      <c r="B7" s="241" t="s">
        <v>643</v>
      </c>
      <c r="C7" s="649">
        <f>'1.0 Pre-Screen'!J29</f>
        <v>0</v>
      </c>
      <c r="D7" s="651"/>
      <c r="E7" s="651"/>
      <c r="F7" s="244" t="s">
        <v>617</v>
      </c>
      <c r="G7" s="647">
        <f>'3.0 Study Results'!H5</f>
        <v>0</v>
      </c>
      <c r="H7" s="651"/>
      <c r="I7" s="648"/>
    </row>
    <row r="8" spans="2:9" ht="26.25" customHeight="1" x14ac:dyDescent="0.2">
      <c r="B8" s="241" t="s">
        <v>614</v>
      </c>
      <c r="C8" s="647">
        <f>'1.0 Pre-Screen'!K27</f>
        <v>0</v>
      </c>
      <c r="D8" s="650">
        <f>'1.0 Pre-Screen'!L27</f>
        <v>0</v>
      </c>
      <c r="E8" s="245"/>
      <c r="F8" s="244" t="s">
        <v>616</v>
      </c>
      <c r="G8" s="647" t="e">
        <f>'3.0 Study Results'!S12</f>
        <v>#DIV/0!</v>
      </c>
      <c r="H8" s="647"/>
      <c r="I8" s="648"/>
    </row>
    <row r="9" spans="2:9" ht="26.25" customHeight="1" x14ac:dyDescent="0.2">
      <c r="C9" s="246"/>
      <c r="D9" s="247"/>
      <c r="E9" s="246"/>
      <c r="F9" s="248"/>
      <c r="G9" s="246"/>
      <c r="H9" s="246"/>
    </row>
    <row r="10" spans="2:9" ht="26.25" customHeight="1" x14ac:dyDescent="0.2">
      <c r="B10" s="642"/>
      <c r="C10" s="643" t="str">
        <f>'3.0 Study Results'!A43</f>
        <v>Net Incremental GHG Emissions Over Project Life</v>
      </c>
      <c r="D10" s="644" t="e">
        <f>'3.0 Study Results'!S43</f>
        <v>#DIV/0!</v>
      </c>
      <c r="E10" s="933" t="s">
        <v>491</v>
      </c>
      <c r="F10" s="934"/>
      <c r="G10" s="934"/>
      <c r="H10" s="934"/>
      <c r="I10" s="935"/>
    </row>
    <row r="11" spans="2:9" ht="26.25" customHeight="1" x14ac:dyDescent="0.2">
      <c r="B11" s="249" t="str">
        <f>IFERROR(IF(-D10&lt;1200,"Project may not qualify for incentive as GHG reduction must be equal or greater than 1200 tC02e.",""),"")</f>
        <v/>
      </c>
      <c r="C11" s="250"/>
      <c r="D11" s="251"/>
      <c r="E11" s="250"/>
      <c r="F11" s="252"/>
      <c r="G11" s="250"/>
      <c r="H11" s="250"/>
      <c r="I11" s="253"/>
    </row>
    <row r="12" spans="2:9" ht="26.25" customHeight="1" x14ac:dyDescent="0.2">
      <c r="C12" s="246"/>
      <c r="D12" s="247"/>
      <c r="E12" s="246"/>
      <c r="F12" s="248"/>
      <c r="G12" s="246"/>
      <c r="H12" s="246"/>
    </row>
    <row r="13" spans="2:9" ht="26.25" customHeight="1" x14ac:dyDescent="0.2">
      <c r="B13" s="450" t="str">
        <f>'3.0 Study Results'!A38</f>
        <v xml:space="preserve">Net Incremental Electrical Energy </v>
      </c>
      <c r="C13" s="655">
        <f>'3.0 Study Results'!S38</f>
        <v>0</v>
      </c>
      <c r="D13" s="451" t="s">
        <v>505</v>
      </c>
      <c r="E13" s="254"/>
      <c r="F13" s="242" t="s">
        <v>615</v>
      </c>
      <c r="G13" s="657">
        <f>SUM('3.0 Study Results'!S59:T60)</f>
        <v>0</v>
      </c>
      <c r="H13" s="241" t="s">
        <v>506</v>
      </c>
      <c r="I13" s="255"/>
    </row>
    <row r="14" spans="2:9" ht="26.25" customHeight="1" x14ac:dyDescent="0.2">
      <c r="B14" s="450" t="s">
        <v>826</v>
      </c>
      <c r="C14" s="655">
        <f>'3.0 Study Results'!S40</f>
        <v>0</v>
      </c>
      <c r="D14" s="451" t="s">
        <v>8</v>
      </c>
      <c r="E14" s="254"/>
      <c r="F14" s="242" t="s">
        <v>497</v>
      </c>
      <c r="G14" s="658">
        <f>'3.0 Study Results'!S58</f>
        <v>0</v>
      </c>
      <c r="H14" s="243"/>
      <c r="I14" s="255"/>
    </row>
    <row r="15" spans="2:9" ht="26.25" customHeight="1" x14ac:dyDescent="0.2">
      <c r="B15" s="256" t="str">
        <f>'3.0 Study Results'!A41</f>
        <v>Net Incremental Fuel Consumption</v>
      </c>
      <c r="C15" s="656">
        <f>'3.0 Study Results'!S41</f>
        <v>0</v>
      </c>
      <c r="D15" s="257" t="s">
        <v>646</v>
      </c>
      <c r="E15" s="258"/>
      <c r="F15" s="259" t="str">
        <f>'3.0 Study Results'!A42</f>
        <v>Net Incremental GHG Emissions</v>
      </c>
      <c r="G15" s="659">
        <f>'3.0 Study Results'!S42</f>
        <v>0</v>
      </c>
      <c r="H15" s="260" t="s">
        <v>647</v>
      </c>
      <c r="I15" s="261"/>
    </row>
    <row r="16" spans="2:9" ht="26.25" customHeight="1" x14ac:dyDescent="0.2">
      <c r="B16" s="262" t="s">
        <v>658</v>
      </c>
    </row>
    <row r="17" spans="2:11" ht="26.25" customHeight="1" x14ac:dyDescent="0.2">
      <c r="B17" s="708"/>
      <c r="C17" s="709" t="s">
        <v>900</v>
      </c>
      <c r="D17" s="710"/>
      <c r="E17" s="708"/>
      <c r="F17" s="709" t="s">
        <v>901</v>
      </c>
    </row>
    <row r="18" spans="2:11" ht="26.25" customHeight="1" x14ac:dyDescent="0.2">
      <c r="B18" s="711" t="s">
        <v>902</v>
      </c>
      <c r="C18" s="712" t="e">
        <f>'1.0 Pre-Screen'!E41/('1.0 Pre-Screen'!E41+'1.0 Pre-Screen'!F48*277.778)</f>
        <v>#DIV/0!</v>
      </c>
      <c r="D18" s="936" t="s">
        <v>903</v>
      </c>
      <c r="E18" s="937"/>
      <c r="F18" s="712" t="e">
        <f>('1.0 Pre-Screen'!E41+C13)/('1.0 Pre-Screen'!E41+C13+'1.0 Pre-Screen'!F48*277.778+C15*277.778)</f>
        <v>#DIV/0!</v>
      </c>
    </row>
    <row r="19" spans="2:11" ht="26.25" customHeight="1" x14ac:dyDescent="0.2">
      <c r="B19" s="713" t="s">
        <v>904</v>
      </c>
      <c r="C19" s="714" t="e">
        <f>1-C18</f>
        <v>#DIV/0!</v>
      </c>
      <c r="D19" s="936" t="s">
        <v>903</v>
      </c>
      <c r="E19" s="937"/>
      <c r="F19" s="714" t="e">
        <f>1-F18</f>
        <v>#DIV/0!</v>
      </c>
    </row>
    <row r="20" spans="2:11" ht="15" customHeight="1" thickBot="1" x14ac:dyDescent="0.25"/>
    <row r="21" spans="2:11" ht="26.25" customHeight="1" thickTop="1" x14ac:dyDescent="0.2">
      <c r="B21" s="931" t="s">
        <v>689</v>
      </c>
      <c r="C21" s="932"/>
      <c r="D21" s="932"/>
      <c r="E21" s="932"/>
      <c r="F21" s="932"/>
      <c r="G21" s="932"/>
      <c r="H21" s="932"/>
      <c r="I21" s="932"/>
      <c r="K21" s="263"/>
    </row>
    <row r="22" spans="2:11" ht="38.25" x14ac:dyDescent="0.2">
      <c r="B22" s="618" t="s">
        <v>690</v>
      </c>
      <c r="C22" s="619" t="s">
        <v>870</v>
      </c>
      <c r="D22" s="619" t="s">
        <v>683</v>
      </c>
      <c r="E22" s="619" t="s">
        <v>684</v>
      </c>
      <c r="F22" s="619" t="s">
        <v>685</v>
      </c>
      <c r="G22" s="619" t="s">
        <v>686</v>
      </c>
      <c r="H22" s="619" t="s">
        <v>687</v>
      </c>
      <c r="I22" s="619" t="s">
        <v>688</v>
      </c>
      <c r="J22" s="263"/>
      <c r="K22" s="263"/>
    </row>
    <row r="23" spans="2:11" ht="26.25" customHeight="1" x14ac:dyDescent="0.2">
      <c r="B23" s="622" t="str">
        <f t="array" ref="B23:B27">TRANSPOSE('xRM Fields'!G7:K7)&amp;" "&amp;TRANSPOSE('xRM Fields'!G6:K6)</f>
        <v xml:space="preserve">EM-1 </v>
      </c>
      <c r="C23" s="624" t="str">
        <f t="array" ref="C23:C27">TRANSPOSE('xRM Fields'!G18:K18)</f>
        <v/>
      </c>
      <c r="D23" s="625" t="str">
        <f t="array" ref="D23:D27">TRANSPOSE('xRM Fields'!G12:K12)</f>
        <v/>
      </c>
      <c r="E23" s="626" t="str">
        <f t="array" ref="E23:E27">TRANSPOSE('xRM Fields'!G22:K22)</f>
        <v/>
      </c>
      <c r="F23" s="627" t="str">
        <f>IF(C23="","",SUM('3.0 Study Results'!D59:E60))</f>
        <v/>
      </c>
      <c r="G23" s="628" t="str">
        <f t="array" ref="G23:G27">TRANSPOSE('xRM Fields'!G15:K15)</f>
        <v/>
      </c>
      <c r="H23" s="629" t="str">
        <f t="array" ref="H23:H27">TRANSPOSE('xRM Fields'!G10:K10)</f>
        <v/>
      </c>
      <c r="I23" s="629" t="str">
        <f>IF(F23&lt;0,G23/ABS(F23),"")</f>
        <v/>
      </c>
      <c r="J23" s="264"/>
      <c r="K23" s="265"/>
    </row>
    <row r="24" spans="2:11" ht="26.25" customHeight="1" x14ac:dyDescent="0.2">
      <c r="B24" s="623" t="str">
        <v xml:space="preserve">EM-2 </v>
      </c>
      <c r="C24" s="630" t="str">
        <v/>
      </c>
      <c r="D24" s="631" t="str">
        <v/>
      </c>
      <c r="E24" s="632" t="str">
        <v/>
      </c>
      <c r="F24" s="633" t="str">
        <f>IF(C24="","",SUM('3.0 Study Results'!G59:H60))</f>
        <v/>
      </c>
      <c r="G24" s="634" t="str">
        <v/>
      </c>
      <c r="H24" s="635" t="str">
        <v/>
      </c>
      <c r="I24" s="635" t="str">
        <f t="shared" ref="I24:I29" si="0">IF(F24&lt;0,G24/ABS(F24),"")</f>
        <v/>
      </c>
      <c r="J24" s="264"/>
      <c r="K24" s="265"/>
    </row>
    <row r="25" spans="2:11" ht="26.25" customHeight="1" x14ac:dyDescent="0.2">
      <c r="B25" s="623" t="str">
        <v xml:space="preserve">EM-3 </v>
      </c>
      <c r="C25" s="630" t="str">
        <v/>
      </c>
      <c r="D25" s="631" t="str">
        <v/>
      </c>
      <c r="E25" s="632" t="str">
        <v/>
      </c>
      <c r="F25" s="633" t="str">
        <f>IF(C25="","",SUM('3.0 Study Results'!J59:K60))</f>
        <v/>
      </c>
      <c r="G25" s="634" t="str">
        <v/>
      </c>
      <c r="H25" s="635" t="str">
        <v/>
      </c>
      <c r="I25" s="635" t="str">
        <f t="shared" si="0"/>
        <v/>
      </c>
      <c r="J25" s="264"/>
      <c r="K25" s="265"/>
    </row>
    <row r="26" spans="2:11" ht="26.25" customHeight="1" x14ac:dyDescent="0.2">
      <c r="B26" s="623" t="str">
        <v xml:space="preserve">EM-4 </v>
      </c>
      <c r="C26" s="630" t="str">
        <v/>
      </c>
      <c r="D26" s="631" t="str">
        <v/>
      </c>
      <c r="E26" s="632" t="str">
        <v/>
      </c>
      <c r="F26" s="633" t="str">
        <f>IF(C26="","",SUM('3.0 Study Results'!M59:N60))</f>
        <v/>
      </c>
      <c r="G26" s="634" t="str">
        <v/>
      </c>
      <c r="H26" s="635" t="str">
        <v/>
      </c>
      <c r="I26" s="635" t="str">
        <f t="shared" si="0"/>
        <v/>
      </c>
      <c r="J26" s="264"/>
      <c r="K26" s="265"/>
    </row>
    <row r="27" spans="2:11" ht="26.25" customHeight="1" x14ac:dyDescent="0.2">
      <c r="B27" s="623" t="str">
        <v xml:space="preserve">EM-5 </v>
      </c>
      <c r="C27" s="630" t="str">
        <v/>
      </c>
      <c r="D27" s="631" t="str">
        <v/>
      </c>
      <c r="E27" s="632" t="str">
        <v/>
      </c>
      <c r="F27" s="633" t="str">
        <f>IF(C27="","",SUM('3.0 Study Results'!P59:Q60))</f>
        <v/>
      </c>
      <c r="G27" s="634" t="str">
        <v/>
      </c>
      <c r="H27" s="635" t="str">
        <v/>
      </c>
      <c r="I27" s="635" t="str">
        <f t="shared" si="0"/>
        <v/>
      </c>
      <c r="J27" s="264"/>
      <c r="K27" s="265"/>
    </row>
    <row r="28" spans="2:11" ht="5.25" customHeight="1" x14ac:dyDescent="0.2">
      <c r="B28" s="253"/>
      <c r="C28" s="464"/>
      <c r="D28" s="266"/>
      <c r="E28" s="268"/>
      <c r="F28" s="267"/>
      <c r="G28" s="269"/>
      <c r="H28" s="269"/>
      <c r="I28" s="270"/>
      <c r="J28" s="264"/>
      <c r="K28" s="265"/>
    </row>
    <row r="29" spans="2:11" s="273" customFormat="1" ht="26.25" customHeight="1" x14ac:dyDescent="0.2">
      <c r="B29" s="271" t="s">
        <v>507</v>
      </c>
      <c r="C29" s="636">
        <f>SUM(C23:C27)</f>
        <v>0</v>
      </c>
      <c r="D29" s="637">
        <f t="shared" ref="D29:F29" si="1">SUM(D23:D27)</f>
        <v>0</v>
      </c>
      <c r="E29" s="638">
        <f t="shared" si="1"/>
        <v>0</v>
      </c>
      <c r="F29" s="639">
        <f t="shared" si="1"/>
        <v>0</v>
      </c>
      <c r="G29" s="639">
        <f>'3.0 Study Results'!S58</f>
        <v>0</v>
      </c>
      <c r="H29" s="640" t="e">
        <f>'3.0 Study Results'!S12</f>
        <v>#DIV/0!</v>
      </c>
      <c r="I29" s="641" t="str">
        <f t="shared" si="0"/>
        <v/>
      </c>
      <c r="J29" s="272"/>
    </row>
    <row r="30" spans="2:11" ht="26.25" customHeight="1" x14ac:dyDescent="0.2">
      <c r="B30" s="262" t="s">
        <v>657</v>
      </c>
      <c r="I30" s="621" t="str">
        <f>IFERROR(IF(I29&lt;=4,"Paypack period is four years or less, this project will not qualify for incentives",""),"")</f>
        <v/>
      </c>
    </row>
    <row r="31" spans="2:11" ht="26.25" customHeight="1" x14ac:dyDescent="0.2"/>
    <row r="32" spans="2:11" ht="26.25" customHeight="1" x14ac:dyDescent="0.2"/>
    <row r="33" spans="2:9" ht="15.75" customHeight="1" x14ac:dyDescent="0.2"/>
    <row r="34" spans="2:9" ht="24.75" customHeight="1" x14ac:dyDescent="0.2">
      <c r="B34" s="274" t="s">
        <v>619</v>
      </c>
      <c r="C34" s="927">
        <f>'1.0 Pre-Screen'!E8</f>
        <v>0</v>
      </c>
      <c r="D34" s="927"/>
      <c r="E34" s="927">
        <f>'1.0 Pre-Screen'!E9</f>
        <v>0</v>
      </c>
      <c r="F34" s="927"/>
      <c r="G34" s="620">
        <f>'1.0 Pre-Screen'!L9</f>
        <v>0</v>
      </c>
      <c r="H34" s="927">
        <f>'1.0 Pre-Screen'!I9</f>
        <v>0</v>
      </c>
      <c r="I34" s="927"/>
    </row>
    <row r="35" spans="2:9" ht="24.75" customHeight="1" x14ac:dyDescent="0.2">
      <c r="B35" s="274" t="s">
        <v>644</v>
      </c>
      <c r="C35" s="927">
        <f>'2.0 Proposal'!E13</f>
        <v>0</v>
      </c>
      <c r="D35" s="927"/>
      <c r="E35" s="927">
        <f>'2.0 Proposal'!E11</f>
        <v>0</v>
      </c>
      <c r="F35" s="927"/>
      <c r="G35" s="620">
        <f>'2.0 Proposal'!I14</f>
        <v>0</v>
      </c>
      <c r="H35" s="927">
        <f>'2.0 Proposal'!E14</f>
        <v>0</v>
      </c>
      <c r="I35" s="927"/>
    </row>
    <row r="36" spans="2:9" ht="24.75" customHeight="1" x14ac:dyDescent="0.2">
      <c r="B36" s="274" t="s">
        <v>620</v>
      </c>
      <c r="C36" s="927" t="s">
        <v>618</v>
      </c>
      <c r="D36" s="927"/>
      <c r="E36" s="927">
        <f>'1.0 Pre-Screen'!K22</f>
        <v>0</v>
      </c>
      <c r="F36" s="927"/>
      <c r="G36" s="620">
        <f>'1.0 Pre-Screen'!K23</f>
        <v>0</v>
      </c>
      <c r="H36" s="927">
        <f>'1.0 Pre-Screen'!K24</f>
        <v>0</v>
      </c>
      <c r="I36" s="927"/>
    </row>
    <row r="37" spans="2:9" ht="24.75" customHeight="1" x14ac:dyDescent="0.2">
      <c r="B37" s="274" t="s">
        <v>645</v>
      </c>
      <c r="C37" s="927" t="s">
        <v>54</v>
      </c>
      <c r="D37" s="927"/>
      <c r="E37" s="927">
        <f>'1.0 Pre-Screen'!K21</f>
        <v>0</v>
      </c>
      <c r="F37" s="927"/>
      <c r="G37" s="620" t="s">
        <v>477</v>
      </c>
      <c r="H37" s="927" t="s">
        <v>476</v>
      </c>
      <c r="I37" s="927"/>
    </row>
    <row r="38" spans="2:9" ht="24.75" customHeight="1" x14ac:dyDescent="0.2">
      <c r="B38" s="275"/>
      <c r="C38" s="276"/>
      <c r="D38" s="276"/>
      <c r="E38" s="276"/>
      <c r="F38" s="276"/>
      <c r="G38" s="277"/>
      <c r="H38" s="276"/>
      <c r="I38" s="276"/>
    </row>
    <row r="39" spans="2:9" ht="24.75" hidden="1" customHeight="1" x14ac:dyDescent="0.2">
      <c r="B39" s="275"/>
      <c r="C39" s="276"/>
      <c r="D39" s="276"/>
      <c r="E39" s="276"/>
      <c r="F39" s="276"/>
      <c r="G39" s="277"/>
      <c r="H39" s="276"/>
      <c r="I39" s="276"/>
    </row>
    <row r="40" spans="2:9" ht="24.75" hidden="1" customHeight="1" x14ac:dyDescent="0.2">
      <c r="B40" s="275"/>
      <c r="C40" s="276"/>
      <c r="D40" s="276"/>
      <c r="E40" s="276"/>
      <c r="F40" s="276"/>
      <c r="G40" s="277"/>
      <c r="H40" s="276"/>
      <c r="I40" s="276"/>
    </row>
    <row r="41" spans="2:9" ht="24.75" hidden="1" customHeight="1" x14ac:dyDescent="0.2">
      <c r="B41" s="275"/>
      <c r="C41" s="276"/>
      <c r="D41" s="276"/>
      <c r="E41" s="276"/>
      <c r="F41" s="276"/>
      <c r="G41" s="277"/>
      <c r="H41" s="276"/>
      <c r="I41" s="276"/>
    </row>
    <row r="42" spans="2:9" ht="24.75" hidden="1" customHeight="1" x14ac:dyDescent="0.2">
      <c r="B42" s="275"/>
      <c r="C42" s="276"/>
      <c r="D42" s="276"/>
      <c r="E42" s="276"/>
      <c r="F42" s="276"/>
      <c r="G42" s="277"/>
      <c r="H42" s="276"/>
      <c r="I42" s="276"/>
    </row>
    <row r="43" spans="2:9" ht="24.75" hidden="1" customHeight="1" x14ac:dyDescent="0.2">
      <c r="B43" s="275"/>
      <c r="C43" s="276"/>
      <c r="D43" s="276"/>
      <c r="E43" s="276"/>
      <c r="F43" s="276"/>
      <c r="G43" s="277"/>
      <c r="H43" s="276"/>
      <c r="I43" s="276"/>
    </row>
    <row r="44" spans="2:9" ht="24.75" hidden="1" customHeight="1" x14ac:dyDescent="0.2">
      <c r="B44" s="275"/>
      <c r="C44" s="276"/>
      <c r="D44" s="276"/>
      <c r="E44" s="276"/>
      <c r="F44" s="276"/>
      <c r="G44" s="277"/>
      <c r="H44" s="276"/>
      <c r="I44" s="276"/>
    </row>
    <row r="45" spans="2:9" ht="24.75" hidden="1" customHeight="1" x14ac:dyDescent="0.2">
      <c r="B45" s="275"/>
      <c r="C45" s="276"/>
      <c r="D45" s="276"/>
      <c r="E45" s="276"/>
      <c r="F45" s="276"/>
      <c r="G45" s="277"/>
      <c r="H45" s="276"/>
      <c r="I45" s="276"/>
    </row>
    <row r="46" spans="2:9" ht="39" hidden="1" customHeight="1" x14ac:dyDescent="0.2"/>
  </sheetData>
  <sheetProtection algorithmName="SHA-512" hashValue="UkOP0/x8cDOBG3c9tqN9qJ4HHs49BXnPqa4vHcsEgHkLUzZUmoWPCFtZ8WDnrAkY+itmXJ0gsDOzTepEpatN+w==" saltValue="EEoI/qEFKiA3VGy42HGCDA==" spinCount="100000" sheet="1" objects="1" scenarios="1"/>
  <mergeCells count="19">
    <mergeCell ref="C36:D36"/>
    <mergeCell ref="E36:F36"/>
    <mergeCell ref="H36:I36"/>
    <mergeCell ref="C37:D37"/>
    <mergeCell ref="E37:F37"/>
    <mergeCell ref="H37:I37"/>
    <mergeCell ref="C34:D34"/>
    <mergeCell ref="E34:F34"/>
    <mergeCell ref="C35:D35"/>
    <mergeCell ref="E35:F35"/>
    <mergeCell ref="B2:G2"/>
    <mergeCell ref="C5:G5"/>
    <mergeCell ref="B21:I21"/>
    <mergeCell ref="H34:I34"/>
    <mergeCell ref="H35:I35"/>
    <mergeCell ref="H2:I2"/>
    <mergeCell ref="E10:I10"/>
    <mergeCell ref="D18:E18"/>
    <mergeCell ref="D19:E19"/>
  </mergeCells>
  <conditionalFormatting sqref="D10">
    <cfRule type="cellIs" dxfId="0" priority="1" operator="greaterThan">
      <formula>-1200</formula>
    </cfRule>
  </conditionalFormatting>
  <pageMargins left="0.7" right="0.7" top="0.75" bottom="0.75" header="0" footer="0.3"/>
  <pageSetup scale="54" orientation="portrait" r:id="rId1"/>
  <headerFooter>
    <oddFooter>&amp;CPage &amp;P of &amp;N&amp;R&amp;G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FF0000"/>
    <pageSetUpPr fitToPage="1"/>
  </sheetPr>
  <dimension ref="A1:U65"/>
  <sheetViews>
    <sheetView topLeftCell="D1" zoomScaleNormal="100" workbookViewId="0">
      <selection activeCell="K6" sqref="K6"/>
    </sheetView>
  </sheetViews>
  <sheetFormatPr defaultColWidth="9.140625" defaultRowHeight="15" x14ac:dyDescent="0.2"/>
  <cols>
    <col min="1" max="4" width="1.85546875" style="78" customWidth="1"/>
    <col min="5" max="5" width="114.140625" style="79" customWidth="1"/>
    <col min="6" max="6" width="22.85546875" style="79" bestFit="1" customWidth="1"/>
    <col min="7" max="11" width="22.85546875" style="79" customWidth="1"/>
    <col min="12" max="12" width="17.28515625" style="77" bestFit="1" customWidth="1"/>
    <col min="13" max="13" width="122.28515625" style="79" bestFit="1" customWidth="1"/>
    <col min="14" max="20" width="9.140625" style="77"/>
    <col min="21" max="21" width="21.28515625" style="79" customWidth="1"/>
    <col min="22" max="16384" width="9.140625" style="79"/>
  </cols>
  <sheetData>
    <row r="1" spans="1:21" s="77" customFormat="1" x14ac:dyDescent="0.2">
      <c r="A1" s="76" t="s">
        <v>510</v>
      </c>
      <c r="B1" s="76" t="s">
        <v>511</v>
      </c>
      <c r="C1" s="115" t="s">
        <v>512</v>
      </c>
      <c r="D1" s="76" t="s">
        <v>513</v>
      </c>
      <c r="E1" s="116" t="s">
        <v>514</v>
      </c>
    </row>
    <row r="2" spans="1:21" x14ac:dyDescent="0.2">
      <c r="E2" s="78" t="s">
        <v>515</v>
      </c>
    </row>
    <row r="3" spans="1:21" x14ac:dyDescent="0.2">
      <c r="E3" s="80" t="s">
        <v>516</v>
      </c>
      <c r="F3" s="80" t="s">
        <v>5</v>
      </c>
      <c r="G3" s="80" t="s">
        <v>480</v>
      </c>
      <c r="H3" s="80" t="s">
        <v>481</v>
      </c>
      <c r="I3" s="80" t="s">
        <v>482</v>
      </c>
      <c r="J3" s="80" t="s">
        <v>483</v>
      </c>
      <c r="K3" s="80" t="s">
        <v>484</v>
      </c>
      <c r="L3" s="81" t="s">
        <v>517</v>
      </c>
      <c r="M3" s="80" t="s">
        <v>215</v>
      </c>
    </row>
    <row r="4" spans="1:21" x14ac:dyDescent="0.2">
      <c r="A4" s="80"/>
      <c r="B4" s="80" t="s">
        <v>518</v>
      </c>
      <c r="C4" s="80"/>
      <c r="D4" s="80" t="s">
        <v>519</v>
      </c>
      <c r="E4" s="82" t="s">
        <v>356</v>
      </c>
      <c r="F4" s="82"/>
      <c r="G4" s="82" t="str">
        <f>IFERROR(LEFT(G8,SEARCH(" ",G8)-1),"")</f>
        <v/>
      </c>
      <c r="H4" s="82" t="str">
        <f>IFERROR(LEFT(H8,SEARCH(" ",H8)-1),"")</f>
        <v/>
      </c>
      <c r="I4" s="82" t="str">
        <f>IFERROR(LEFT(I8,SEARCH(" ",I8)-1),"")</f>
        <v/>
      </c>
      <c r="J4" s="82" t="str">
        <f>IFERROR(LEFT(J8,SEARCH(" ",J8)-1),"")</f>
        <v/>
      </c>
      <c r="K4" s="82" t="str">
        <f>IFERROR(LEFT(K8,SEARCH(" ",K8)-1),"")</f>
        <v/>
      </c>
      <c r="L4" s="82" t="s">
        <v>520</v>
      </c>
      <c r="M4" s="95" t="s">
        <v>521</v>
      </c>
      <c r="U4" s="83"/>
    </row>
    <row r="6" spans="1:21" x14ac:dyDescent="0.2">
      <c r="E6" s="78" t="s">
        <v>522</v>
      </c>
      <c r="G6" s="77" t="str">
        <f>IF(G9="No","",'3.0 Study Results'!D9)</f>
        <v/>
      </c>
      <c r="H6" s="77" t="str">
        <f>IF(H9="No","",'3.0 Study Results'!G9)</f>
        <v/>
      </c>
      <c r="I6" s="77" t="str">
        <f>IF(I9="No","",'3.0 Study Results'!J9)</f>
        <v/>
      </c>
      <c r="J6" s="77" t="str">
        <f>IF(J9="No","",'3.0 Study Results'!M9)</f>
        <v/>
      </c>
      <c r="K6" s="77" t="str">
        <f>IF(K9="No","",'3.0 Study Results'!P9)</f>
        <v/>
      </c>
      <c r="L6" s="84"/>
    </row>
    <row r="7" spans="1:21" x14ac:dyDescent="0.2">
      <c r="E7" s="80" t="s">
        <v>516</v>
      </c>
      <c r="F7" s="80" t="s">
        <v>5</v>
      </c>
      <c r="G7" s="80" t="s">
        <v>480</v>
      </c>
      <c r="H7" s="80" t="s">
        <v>481</v>
      </c>
      <c r="I7" s="80" t="s">
        <v>482</v>
      </c>
      <c r="J7" s="80" t="s">
        <v>483</v>
      </c>
      <c r="K7" s="80" t="s">
        <v>484</v>
      </c>
      <c r="L7" s="81" t="s">
        <v>517</v>
      </c>
      <c r="M7" s="80" t="s">
        <v>215</v>
      </c>
    </row>
    <row r="8" spans="1:21" x14ac:dyDescent="0.2">
      <c r="A8" s="80"/>
      <c r="B8" s="80" t="s">
        <v>518</v>
      </c>
      <c r="C8" s="80"/>
      <c r="D8" s="80" t="s">
        <v>519</v>
      </c>
      <c r="E8" s="82" t="s">
        <v>523</v>
      </c>
      <c r="F8" s="82"/>
      <c r="G8" s="85" t="str">
        <f>IF(G9="No","",'3.0 Study Results'!D10)</f>
        <v/>
      </c>
      <c r="H8" s="85" t="str">
        <f>IF(H9="No","",'3.0 Study Results'!G10)</f>
        <v/>
      </c>
      <c r="I8" s="85" t="str">
        <f>IF(I9="No","",'3.0 Study Results'!J10)</f>
        <v/>
      </c>
      <c r="J8" s="85" t="str">
        <f>IF(J9="No","",'3.0 Study Results'!M10)</f>
        <v/>
      </c>
      <c r="K8" s="85" t="str">
        <f>IF(K9="No","",'3.0 Study Results'!P10)</f>
        <v/>
      </c>
      <c r="L8" s="82" t="s">
        <v>520</v>
      </c>
      <c r="M8" s="95" t="s">
        <v>524</v>
      </c>
      <c r="U8" s="86"/>
    </row>
    <row r="9" spans="1:21" x14ac:dyDescent="0.2">
      <c r="A9" s="80"/>
      <c r="B9" s="80" t="s">
        <v>518</v>
      </c>
      <c r="C9" s="80"/>
      <c r="D9" s="80" t="s">
        <v>519</v>
      </c>
      <c r="E9" s="117" t="s">
        <v>613</v>
      </c>
      <c r="F9" s="82"/>
      <c r="G9" s="85" t="str">
        <f>'3.0 Study Results'!D11</f>
        <v>No</v>
      </c>
      <c r="H9" s="85" t="str">
        <f>'3.0 Study Results'!G11</f>
        <v>No</v>
      </c>
      <c r="I9" s="85" t="str">
        <f>'3.0 Study Results'!J11</f>
        <v>No</v>
      </c>
      <c r="J9" s="85" t="str">
        <f>'3.0 Study Results'!M11</f>
        <v>No</v>
      </c>
      <c r="K9" s="85" t="str">
        <f>'3.0 Study Results'!P11</f>
        <v>No</v>
      </c>
      <c r="L9" s="82" t="s">
        <v>520</v>
      </c>
      <c r="M9" s="95" t="s">
        <v>525</v>
      </c>
      <c r="U9" s="86"/>
    </row>
    <row r="10" spans="1:21" x14ac:dyDescent="0.2">
      <c r="A10" s="80"/>
      <c r="B10" s="80" t="s">
        <v>518</v>
      </c>
      <c r="C10" s="80"/>
      <c r="D10" s="80" t="s">
        <v>519</v>
      </c>
      <c r="E10" s="82" t="s">
        <v>427</v>
      </c>
      <c r="F10" s="82"/>
      <c r="G10" s="82" t="str">
        <f>IF(G9="Yes",'3.0 Study Results'!D12,"")</f>
        <v/>
      </c>
      <c r="H10" s="82" t="str">
        <f>IF(H9="Yes",'3.0 Study Results'!G12,"")</f>
        <v/>
      </c>
      <c r="I10" s="82" t="str">
        <f>IF(I9="Yes",'3.0 Study Results'!J12,"")</f>
        <v/>
      </c>
      <c r="J10" s="82" t="str">
        <f>IF(J9="Yes",'3.0 Study Results'!M12,"")</f>
        <v/>
      </c>
      <c r="K10" s="82" t="str">
        <f>IF(K9="Yes",'3.0 Study Results'!P12,"")</f>
        <v/>
      </c>
      <c r="L10" s="82" t="s">
        <v>520</v>
      </c>
      <c r="M10" s="95" t="s">
        <v>525</v>
      </c>
      <c r="U10" s="86"/>
    </row>
    <row r="11" spans="1:21" x14ac:dyDescent="0.2">
      <c r="A11" s="87">
        <v>1</v>
      </c>
      <c r="B11" s="87" t="s">
        <v>526</v>
      </c>
      <c r="C11" s="87" t="s">
        <v>527</v>
      </c>
      <c r="D11" s="87" t="s">
        <v>528</v>
      </c>
      <c r="E11" s="82" t="s">
        <v>529</v>
      </c>
      <c r="F11" s="82"/>
      <c r="G11" s="85" t="str">
        <f>IF(G9="Yes",'3.0 Study Results'!D31,"")</f>
        <v/>
      </c>
      <c r="H11" s="85" t="str">
        <f>IF(H9="Yes",'3.0 Study Results'!G31,"")</f>
        <v/>
      </c>
      <c r="I11" s="85" t="str">
        <f>IF(I9="Yes",'3.0 Study Results'!J31,"")</f>
        <v/>
      </c>
      <c r="J11" s="85" t="str">
        <f>IF(J9="Yes",'3.0 Study Results'!M31,"")</f>
        <v/>
      </c>
      <c r="K11" s="85" t="str">
        <f>IF(K9="Yes",'3.0 Study Results'!Q31,"")</f>
        <v/>
      </c>
      <c r="L11" s="82" t="s">
        <v>520</v>
      </c>
      <c r="M11" s="118" t="s">
        <v>530</v>
      </c>
      <c r="U11" s="86"/>
    </row>
    <row r="12" spans="1:21" x14ac:dyDescent="0.2">
      <c r="A12" s="87">
        <v>2</v>
      </c>
      <c r="B12" s="87" t="s">
        <v>526</v>
      </c>
      <c r="C12" s="87" t="s">
        <v>531</v>
      </c>
      <c r="D12" s="87" t="s">
        <v>528</v>
      </c>
      <c r="E12" s="82" t="s">
        <v>532</v>
      </c>
      <c r="F12" s="113" t="s">
        <v>214</v>
      </c>
      <c r="G12" s="85" t="str">
        <f>IF(G9="No","",ABS('3.0 Study Results'!D41))</f>
        <v/>
      </c>
      <c r="H12" s="85" t="str">
        <f>IF(H9="No","",ABS('3.0 Study Results'!G41))</f>
        <v/>
      </c>
      <c r="I12" s="85" t="str">
        <f>IF(I9="No","",ABS('3.0 Study Results'!J41))</f>
        <v/>
      </c>
      <c r="J12" s="85" t="str">
        <f>IF(J9="No","",ABS('3.0 Study Results'!M41))</f>
        <v/>
      </c>
      <c r="K12" s="85" t="str">
        <f>IF(K9="No","",ABS('3.0 Study Results'!P41))</f>
        <v/>
      </c>
      <c r="L12" s="82" t="s">
        <v>520</v>
      </c>
      <c r="M12" s="82"/>
      <c r="U12" s="86"/>
    </row>
    <row r="13" spans="1:21" x14ac:dyDescent="0.2">
      <c r="A13" s="80"/>
      <c r="B13" s="80" t="s">
        <v>518</v>
      </c>
      <c r="C13" s="81"/>
      <c r="D13" s="80" t="s">
        <v>519</v>
      </c>
      <c r="E13" s="82" t="s">
        <v>533</v>
      </c>
      <c r="F13" s="88" t="s">
        <v>233</v>
      </c>
      <c r="G13" s="89" t="str">
        <f>IF(G9="No","",SUM('3.0 Study Results'!E45:E47))</f>
        <v/>
      </c>
      <c r="H13" s="89" t="str">
        <f>IF(H9="No","",SUM('3.0 Study Results'!H45:H47))</f>
        <v/>
      </c>
      <c r="I13" s="89" t="str">
        <f>IF(I9="No","",SUM('3.0 Study Results'!K45:K47))</f>
        <v/>
      </c>
      <c r="J13" s="89" t="str">
        <f>IF(J9="No","",SUM('3.0 Study Results'!N45:N47))</f>
        <v/>
      </c>
      <c r="K13" s="89" t="str">
        <f>IF(K9="No","",SUM('3.0 Study Results'!Q45:Q47))</f>
        <v/>
      </c>
      <c r="L13" s="82" t="s">
        <v>520</v>
      </c>
      <c r="M13" s="95" t="s">
        <v>534</v>
      </c>
      <c r="U13" s="90"/>
    </row>
    <row r="14" spans="1:21" x14ac:dyDescent="0.2">
      <c r="A14" s="80"/>
      <c r="B14" s="80" t="s">
        <v>518</v>
      </c>
      <c r="C14" s="81"/>
      <c r="D14" s="80" t="s">
        <v>519</v>
      </c>
      <c r="E14" s="82" t="s">
        <v>535</v>
      </c>
      <c r="F14" s="88" t="s">
        <v>233</v>
      </c>
      <c r="G14" s="89" t="str">
        <f>IF(G9="No","",G13)</f>
        <v/>
      </c>
      <c r="H14" s="89" t="str">
        <f t="shared" ref="H14:K14" si="0">IF(H9="No","",H13)</f>
        <v/>
      </c>
      <c r="I14" s="89" t="str">
        <f t="shared" si="0"/>
        <v/>
      </c>
      <c r="J14" s="89" t="str">
        <f t="shared" si="0"/>
        <v/>
      </c>
      <c r="K14" s="89" t="str">
        <f t="shared" si="0"/>
        <v/>
      </c>
      <c r="L14" s="82" t="s">
        <v>520</v>
      </c>
      <c r="M14" s="95" t="s">
        <v>534</v>
      </c>
      <c r="U14" s="90"/>
    </row>
    <row r="15" spans="1:21" x14ac:dyDescent="0.2">
      <c r="A15" s="80"/>
      <c r="B15" s="80" t="s">
        <v>518</v>
      </c>
      <c r="C15" s="81"/>
      <c r="D15" s="80" t="s">
        <v>519</v>
      </c>
      <c r="E15" s="82" t="s">
        <v>536</v>
      </c>
      <c r="F15" s="82" t="s">
        <v>233</v>
      </c>
      <c r="G15" s="89" t="str">
        <f>IF(G9="No","",SUM('3.0 Study Results'!E45:E47)-SUM('3.0 Study Results'!D45:D47))</f>
        <v/>
      </c>
      <c r="H15" s="89" t="str">
        <f>IF(H9="No","",SUM('3.0 Study Results'!H45:H47)-SUM('3.0 Study Results'!G45:G47))</f>
        <v/>
      </c>
      <c r="I15" s="89" t="str">
        <f>IF(I9="No","",SUM('3.0 Study Results'!K45:K47)-SUM('3.0 Study Results'!J45:J47))</f>
        <v/>
      </c>
      <c r="J15" s="89" t="str">
        <f>IF(J9="No","",SUM('3.0 Study Results'!N45:N47)-SUM('3.0 Study Results'!M45:M47))</f>
        <v/>
      </c>
      <c r="K15" s="89" t="str">
        <f>IF(K9="No","",SUM('3.0 Study Results'!Q45:Q47)-SUM('3.0 Study Results'!P45:P47))</f>
        <v/>
      </c>
      <c r="L15" s="82" t="s">
        <v>520</v>
      </c>
      <c r="M15" s="95" t="s">
        <v>534</v>
      </c>
      <c r="U15" s="90"/>
    </row>
    <row r="16" spans="1:21" x14ac:dyDescent="0.2">
      <c r="A16" s="80"/>
      <c r="B16" s="80" t="s">
        <v>518</v>
      </c>
      <c r="C16" s="80"/>
      <c r="D16" s="80" t="s">
        <v>519</v>
      </c>
      <c r="E16" s="82" t="s">
        <v>537</v>
      </c>
      <c r="F16" s="82" t="s">
        <v>233</v>
      </c>
      <c r="G16" s="89" t="str">
        <f>IF(G9="No","",'3.0 Study Results'!D59)</f>
        <v/>
      </c>
      <c r="H16" s="89" t="str">
        <f>IF(H9="No","",'3.0 Study Results'!G59)</f>
        <v/>
      </c>
      <c r="I16" s="89" t="str">
        <f>IF(I9="No","",'3.0 Study Results'!J59)</f>
        <v/>
      </c>
      <c r="J16" s="89" t="str">
        <f>IF(J9="No","",'3.0 Study Results'!M59)</f>
        <v/>
      </c>
      <c r="K16" s="89" t="str">
        <f>IF(K9="No","",'3.0 Study Results'!P59)</f>
        <v/>
      </c>
      <c r="L16" s="82" t="s">
        <v>520</v>
      </c>
      <c r="M16" s="95" t="s">
        <v>717</v>
      </c>
      <c r="U16" s="90"/>
    </row>
    <row r="17" spans="1:21" ht="24.75" customHeight="1" x14ac:dyDescent="0.2">
      <c r="A17" s="80"/>
      <c r="B17" s="80" t="s">
        <v>518</v>
      </c>
      <c r="C17" s="80"/>
      <c r="D17" s="80" t="s">
        <v>519</v>
      </c>
      <c r="E17" s="82" t="s">
        <v>538</v>
      </c>
      <c r="F17" s="82" t="s">
        <v>233</v>
      </c>
      <c r="G17" s="89" t="str">
        <f>IF(G9="No","",'3.0 Study Results'!D54)</f>
        <v/>
      </c>
      <c r="H17" s="89" t="str">
        <f>IF(H9="No","",'3.0 Study Results'!G54)</f>
        <v/>
      </c>
      <c r="I17" s="89" t="str">
        <f>IF(I9="No","",'3.0 Study Results'!J54)</f>
        <v/>
      </c>
      <c r="J17" s="89" t="str">
        <f>IF(J9="No","",'3.0 Study Results'!M54)</f>
        <v/>
      </c>
      <c r="K17" s="89" t="str">
        <f>IF(K9="No","",'3.0 Study Results'!P54)</f>
        <v/>
      </c>
      <c r="L17" s="82" t="s">
        <v>520</v>
      </c>
      <c r="M17" s="95" t="s">
        <v>642</v>
      </c>
      <c r="U17" s="90"/>
    </row>
    <row r="18" spans="1:21" x14ac:dyDescent="0.2">
      <c r="A18" s="80"/>
      <c r="B18" s="80" t="s">
        <v>518</v>
      </c>
      <c r="C18" s="80"/>
      <c r="D18" s="80" t="s">
        <v>519</v>
      </c>
      <c r="E18" s="82" t="s">
        <v>539</v>
      </c>
      <c r="F18" s="82" t="s">
        <v>351</v>
      </c>
      <c r="G18" s="85" t="str">
        <f>IF(G9="No","",'3.0 Study Results'!D38)</f>
        <v/>
      </c>
      <c r="H18" s="85" t="str">
        <f>IF(H9="No","",'3.0 Study Results'!G38)</f>
        <v/>
      </c>
      <c r="I18" s="85" t="str">
        <f>IF(I9="No","",'3.0 Study Results'!J38)</f>
        <v/>
      </c>
      <c r="J18" s="85" t="str">
        <f>IF(J9="No","",'3.0 Study Results'!M38)</f>
        <v/>
      </c>
      <c r="K18" s="85" t="str">
        <f>IF(K9="No","",'3.0 Study Results'!P38)</f>
        <v/>
      </c>
      <c r="L18" s="82" t="s">
        <v>520</v>
      </c>
      <c r="M18" s="82"/>
      <c r="U18" s="91"/>
    </row>
    <row r="19" spans="1:21" x14ac:dyDescent="0.2">
      <c r="A19" s="80"/>
      <c r="B19" s="80" t="s">
        <v>518</v>
      </c>
      <c r="C19" s="80"/>
      <c r="D19" s="80" t="s">
        <v>519</v>
      </c>
      <c r="E19" s="82" t="s">
        <v>540</v>
      </c>
      <c r="F19" s="82" t="s">
        <v>8</v>
      </c>
      <c r="G19" s="85" t="str">
        <f>IF(G8="No","",'3.0 Study Results'!D39)</f>
        <v/>
      </c>
      <c r="H19" s="85" t="str">
        <f>IF(H8="No","",'3.0 Study Results'!G39)</f>
        <v/>
      </c>
      <c r="I19" s="85" t="str">
        <f>IF(I8="No","",'3.0 Study Results'!J39)</f>
        <v/>
      </c>
      <c r="J19" s="85" t="str">
        <f>IF(J8="No","",'3.0 Study Results'!M39)</f>
        <v/>
      </c>
      <c r="K19" s="85" t="str">
        <f>IF(K8="No","",'3.0 Study Results'!P39)</f>
        <v/>
      </c>
      <c r="L19" s="82" t="s">
        <v>520</v>
      </c>
      <c r="M19" s="82"/>
      <c r="U19" s="91"/>
    </row>
    <row r="20" spans="1:21" x14ac:dyDescent="0.2">
      <c r="A20" s="87">
        <v>3</v>
      </c>
      <c r="B20" s="87" t="s">
        <v>526</v>
      </c>
      <c r="C20" s="87" t="s">
        <v>541</v>
      </c>
      <c r="D20" s="87" t="s">
        <v>528</v>
      </c>
      <c r="E20" s="82" t="s">
        <v>542</v>
      </c>
      <c r="F20" s="82" t="s">
        <v>8</v>
      </c>
      <c r="G20" s="85" t="str">
        <f>IF(G9="No","",'3.0 Study Results'!D40)</f>
        <v/>
      </c>
      <c r="H20" s="85" t="str">
        <f>IF(H9="No","",'3.0 Study Results'!G40)</f>
        <v/>
      </c>
      <c r="I20" s="85" t="str">
        <f>IF(I9="No","",'3.0 Study Results'!J40)</f>
        <v/>
      </c>
      <c r="J20" s="85" t="str">
        <f>IF(J9="No","",'3.0 Study Results'!M40)</f>
        <v/>
      </c>
      <c r="K20" s="85" t="str">
        <f>IF(K9="No","",'3.0 Study Results'!P40)</f>
        <v/>
      </c>
      <c r="L20" s="82" t="s">
        <v>520</v>
      </c>
      <c r="M20" s="95" t="s">
        <v>543</v>
      </c>
      <c r="U20" s="91"/>
    </row>
    <row r="21" spans="1:21" x14ac:dyDescent="0.2">
      <c r="A21" s="87">
        <v>4</v>
      </c>
      <c r="B21" s="87" t="s">
        <v>526</v>
      </c>
      <c r="C21" s="87" t="s">
        <v>544</v>
      </c>
      <c r="D21" s="87" t="s">
        <v>528</v>
      </c>
      <c r="E21" s="82" t="s">
        <v>545</v>
      </c>
      <c r="F21" s="82" t="s">
        <v>8</v>
      </c>
      <c r="G21" s="82"/>
      <c r="H21" s="82"/>
      <c r="I21" s="82"/>
      <c r="J21" s="82"/>
      <c r="K21" s="82"/>
      <c r="L21" s="82" t="s">
        <v>520</v>
      </c>
      <c r="M21" s="82"/>
      <c r="U21" s="91"/>
    </row>
    <row r="22" spans="1:21" ht="18" x14ac:dyDescent="0.2">
      <c r="A22" s="87">
        <v>5</v>
      </c>
      <c r="B22" s="87" t="s">
        <v>526</v>
      </c>
      <c r="C22" s="87" t="s">
        <v>546</v>
      </c>
      <c r="D22" s="87" t="s">
        <v>528</v>
      </c>
      <c r="E22" s="82" t="s">
        <v>547</v>
      </c>
      <c r="F22" s="82" t="s">
        <v>548</v>
      </c>
      <c r="G22" s="92" t="str">
        <f>IF(G9="No","",ABS('3.0 Study Results'!D42))</f>
        <v/>
      </c>
      <c r="H22" s="92" t="str">
        <f>IF(H9="No","",ABS('3.0 Study Results'!G42))</f>
        <v/>
      </c>
      <c r="I22" s="92" t="str">
        <f>IF(I9="No","",ABS('3.0 Study Results'!J42))</f>
        <v/>
      </c>
      <c r="J22" s="92" t="str">
        <f>IF(J9="No","",ABS('3.0 Study Results'!M42))</f>
        <v/>
      </c>
      <c r="K22" s="92" t="str">
        <f>IF(K9="No","",ABS('3.0 Study Results'!P42))</f>
        <v/>
      </c>
      <c r="L22" s="82" t="s">
        <v>520</v>
      </c>
      <c r="M22" s="95" t="s">
        <v>718</v>
      </c>
      <c r="U22" s="93"/>
    </row>
    <row r="23" spans="1:21" x14ac:dyDescent="0.2">
      <c r="E23" s="77"/>
      <c r="F23" s="77"/>
      <c r="G23" s="77"/>
      <c r="H23" s="77"/>
      <c r="I23" s="77"/>
      <c r="J23" s="77"/>
      <c r="K23" s="77"/>
      <c r="M23" s="77"/>
    </row>
    <row r="24" spans="1:21" x14ac:dyDescent="0.2">
      <c r="E24" s="119" t="s">
        <v>549</v>
      </c>
      <c r="F24" s="77"/>
      <c r="G24" s="77"/>
      <c r="H24" s="77"/>
      <c r="I24" s="77"/>
      <c r="J24" s="77"/>
      <c r="K24" s="77"/>
      <c r="L24" s="84"/>
      <c r="M24" s="77"/>
    </row>
    <row r="25" spans="1:21" x14ac:dyDescent="0.2">
      <c r="E25" s="81" t="s">
        <v>516</v>
      </c>
      <c r="F25" s="81" t="s">
        <v>5</v>
      </c>
      <c r="G25" s="80" t="s">
        <v>550</v>
      </c>
      <c r="H25" s="81" t="s">
        <v>215</v>
      </c>
      <c r="L25" s="81" t="s">
        <v>517</v>
      </c>
    </row>
    <row r="26" spans="1:21" x14ac:dyDescent="0.2">
      <c r="A26" s="80"/>
      <c r="B26" s="80" t="s">
        <v>518</v>
      </c>
      <c r="C26" s="80"/>
      <c r="D26" s="80" t="s">
        <v>551</v>
      </c>
      <c r="E26" s="82" t="s">
        <v>552</v>
      </c>
      <c r="F26" s="82" t="s">
        <v>233</v>
      </c>
      <c r="G26" s="112">
        <f>SUM(G13:K13)</f>
        <v>0</v>
      </c>
      <c r="H26" s="95" t="s">
        <v>553</v>
      </c>
      <c r="L26" s="88" t="s">
        <v>520</v>
      </c>
      <c r="U26" s="90"/>
    </row>
    <row r="27" spans="1:21" x14ac:dyDescent="0.2">
      <c r="A27" s="80"/>
      <c r="B27" s="80" t="s">
        <v>518</v>
      </c>
      <c r="C27" s="80"/>
      <c r="D27" s="80" t="s">
        <v>551</v>
      </c>
      <c r="E27" s="82" t="s">
        <v>554</v>
      </c>
      <c r="F27" s="82" t="s">
        <v>233</v>
      </c>
      <c r="G27" s="112">
        <f>SUM(G15:K15)</f>
        <v>0</v>
      </c>
      <c r="H27" s="95" t="s">
        <v>553</v>
      </c>
      <c r="L27" s="88" t="s">
        <v>520</v>
      </c>
      <c r="U27" s="90"/>
    </row>
    <row r="28" spans="1:21" s="100" customFormat="1" ht="39.75" customHeight="1" x14ac:dyDescent="0.2">
      <c r="A28" s="96">
        <v>6</v>
      </c>
      <c r="B28" s="96" t="s">
        <v>526</v>
      </c>
      <c r="C28" s="96" t="s">
        <v>555</v>
      </c>
      <c r="D28" s="96" t="s">
        <v>556</v>
      </c>
      <c r="E28" s="97" t="s">
        <v>557</v>
      </c>
      <c r="F28" s="97" t="s">
        <v>233</v>
      </c>
      <c r="G28" s="98">
        <f>'3.0 Study Results'!T48</f>
        <v>0</v>
      </c>
      <c r="H28" s="99" t="s">
        <v>558</v>
      </c>
      <c r="L28" s="97" t="s">
        <v>559</v>
      </c>
      <c r="N28" s="101"/>
      <c r="O28" s="101"/>
      <c r="P28" s="101"/>
      <c r="Q28" s="101"/>
      <c r="R28" s="101"/>
      <c r="S28" s="101"/>
      <c r="T28" s="101"/>
      <c r="U28" s="102"/>
    </row>
    <row r="29" spans="1:21" s="100" customFormat="1" ht="36" customHeight="1" x14ac:dyDescent="0.2">
      <c r="A29" s="96">
        <v>7</v>
      </c>
      <c r="B29" s="96" t="s">
        <v>526</v>
      </c>
      <c r="C29" s="96" t="s">
        <v>560</v>
      </c>
      <c r="D29" s="96" t="s">
        <v>561</v>
      </c>
      <c r="E29" s="97" t="s">
        <v>562</v>
      </c>
      <c r="F29" s="97" t="s">
        <v>233</v>
      </c>
      <c r="G29" s="98"/>
      <c r="H29" s="99" t="s">
        <v>563</v>
      </c>
      <c r="L29" s="97" t="s">
        <v>559</v>
      </c>
      <c r="N29" s="101"/>
      <c r="O29" s="101"/>
      <c r="P29" s="101"/>
      <c r="Q29" s="101"/>
      <c r="R29" s="101"/>
      <c r="S29" s="101"/>
      <c r="T29" s="101"/>
      <c r="U29" s="102"/>
    </row>
    <row r="30" spans="1:21" x14ac:dyDescent="0.2">
      <c r="A30" s="87">
        <v>8</v>
      </c>
      <c r="B30" s="87" t="s">
        <v>526</v>
      </c>
      <c r="C30" s="87" t="s">
        <v>564</v>
      </c>
      <c r="D30" s="87" t="s">
        <v>565</v>
      </c>
      <c r="E30" s="82" t="s">
        <v>566</v>
      </c>
      <c r="F30" s="82" t="s">
        <v>233</v>
      </c>
      <c r="G30" s="112">
        <f>SUM(G16:K16)</f>
        <v>0</v>
      </c>
      <c r="H30" s="95" t="s">
        <v>553</v>
      </c>
      <c r="L30" s="88" t="s">
        <v>520</v>
      </c>
      <c r="U30" s="90"/>
    </row>
    <row r="31" spans="1:21" x14ac:dyDescent="0.2">
      <c r="A31" s="80"/>
      <c r="B31" s="80" t="s">
        <v>518</v>
      </c>
      <c r="C31" s="80"/>
      <c r="D31" s="80" t="s">
        <v>551</v>
      </c>
      <c r="E31" s="82" t="s">
        <v>538</v>
      </c>
      <c r="F31" s="82" t="s">
        <v>233</v>
      </c>
      <c r="G31" s="112">
        <f>SUM(G17:K17)</f>
        <v>0</v>
      </c>
      <c r="H31" s="95" t="s">
        <v>553</v>
      </c>
      <c r="L31" s="88" t="s">
        <v>520</v>
      </c>
      <c r="U31" s="90"/>
    </row>
    <row r="32" spans="1:21" x14ac:dyDescent="0.2">
      <c r="A32" s="80"/>
      <c r="B32" s="80" t="s">
        <v>567</v>
      </c>
      <c r="C32" s="80"/>
      <c r="D32" s="80" t="s">
        <v>568</v>
      </c>
      <c r="E32" s="82" t="s">
        <v>569</v>
      </c>
      <c r="F32" s="82" t="s">
        <v>351</v>
      </c>
      <c r="G32" s="103">
        <f>SUM(G18:K18)</f>
        <v>0</v>
      </c>
      <c r="H32" s="95" t="s">
        <v>570</v>
      </c>
      <c r="L32" s="88" t="s">
        <v>520</v>
      </c>
      <c r="U32" s="91"/>
    </row>
    <row r="33" spans="1:21" x14ac:dyDescent="0.2">
      <c r="A33" s="80"/>
      <c r="B33" s="80" t="s">
        <v>567</v>
      </c>
      <c r="C33" s="80"/>
      <c r="D33" s="80" t="s">
        <v>568</v>
      </c>
      <c r="E33" s="82" t="s">
        <v>571</v>
      </c>
      <c r="F33" s="82" t="s">
        <v>8</v>
      </c>
      <c r="G33" s="103">
        <f t="shared" ref="G33:G36" si="1">SUM(G19:K19)</f>
        <v>0</v>
      </c>
      <c r="H33" s="95" t="s">
        <v>570</v>
      </c>
      <c r="L33" s="88" t="s">
        <v>520</v>
      </c>
      <c r="U33" s="91"/>
    </row>
    <row r="34" spans="1:21" x14ac:dyDescent="0.2">
      <c r="A34" s="80"/>
      <c r="B34" s="80" t="s">
        <v>567</v>
      </c>
      <c r="C34" s="80"/>
      <c r="D34" s="80" t="s">
        <v>568</v>
      </c>
      <c r="E34" s="82" t="s">
        <v>572</v>
      </c>
      <c r="F34" s="82" t="s">
        <v>8</v>
      </c>
      <c r="G34" s="103">
        <f t="shared" si="1"/>
        <v>0</v>
      </c>
      <c r="H34" s="95" t="s">
        <v>570</v>
      </c>
      <c r="L34" s="88" t="s">
        <v>520</v>
      </c>
      <c r="U34" s="91"/>
    </row>
    <row r="35" spans="1:21" x14ac:dyDescent="0.2">
      <c r="A35" s="80"/>
      <c r="B35" s="80" t="s">
        <v>567</v>
      </c>
      <c r="C35" s="80"/>
      <c r="D35" s="80" t="s">
        <v>568</v>
      </c>
      <c r="E35" s="82" t="s">
        <v>573</v>
      </c>
      <c r="F35" s="82" t="s">
        <v>8</v>
      </c>
      <c r="G35" s="94"/>
      <c r="H35" s="95" t="s">
        <v>570</v>
      </c>
      <c r="L35" s="88" t="s">
        <v>520</v>
      </c>
      <c r="U35" s="91"/>
    </row>
    <row r="36" spans="1:21" ht="18" x14ac:dyDescent="0.2">
      <c r="A36" s="80"/>
      <c r="B36" s="80" t="s">
        <v>567</v>
      </c>
      <c r="C36" s="80"/>
      <c r="D36" s="80" t="s">
        <v>568</v>
      </c>
      <c r="E36" s="82" t="s">
        <v>574</v>
      </c>
      <c r="F36" s="82" t="s">
        <v>548</v>
      </c>
      <c r="G36" s="103">
        <f t="shared" si="1"/>
        <v>0</v>
      </c>
      <c r="H36" s="95" t="s">
        <v>570</v>
      </c>
      <c r="L36" s="88" t="s">
        <v>520</v>
      </c>
      <c r="U36" s="93"/>
    </row>
    <row r="37" spans="1:21" x14ac:dyDescent="0.2">
      <c r="A37" s="87">
        <v>9</v>
      </c>
      <c r="B37" s="87" t="s">
        <v>526</v>
      </c>
      <c r="C37" s="87" t="s">
        <v>575</v>
      </c>
      <c r="D37" s="87" t="s">
        <v>576</v>
      </c>
      <c r="E37" s="97" t="s">
        <v>577</v>
      </c>
      <c r="F37" s="97" t="s">
        <v>233</v>
      </c>
      <c r="G37" s="98"/>
      <c r="H37" s="99" t="s">
        <v>578</v>
      </c>
      <c r="I37" s="100"/>
      <c r="J37" s="100"/>
      <c r="K37" s="100"/>
      <c r="L37" s="97" t="s">
        <v>579</v>
      </c>
      <c r="U37" s="104"/>
    </row>
    <row r="38" spans="1:21" x14ac:dyDescent="0.2">
      <c r="A38" s="80"/>
      <c r="B38" s="80" t="s">
        <v>518</v>
      </c>
      <c r="C38" s="80"/>
      <c r="D38" s="80" t="s">
        <v>551</v>
      </c>
      <c r="E38" s="97" t="s">
        <v>580</v>
      </c>
      <c r="F38" s="97" t="s">
        <v>233</v>
      </c>
      <c r="G38" s="98"/>
      <c r="H38" s="99" t="s">
        <v>581</v>
      </c>
      <c r="I38" s="100"/>
      <c r="J38" s="100"/>
      <c r="K38" s="100"/>
      <c r="L38" s="97" t="s">
        <v>579</v>
      </c>
      <c r="U38" s="104"/>
    </row>
    <row r="39" spans="1:21" x14ac:dyDescent="0.2">
      <c r="A39" s="87">
        <v>10</v>
      </c>
      <c r="B39" s="87" t="s">
        <v>526</v>
      </c>
      <c r="C39" s="87" t="s">
        <v>582</v>
      </c>
      <c r="D39" s="87" t="s">
        <v>583</v>
      </c>
      <c r="E39" s="97" t="s">
        <v>584</v>
      </c>
      <c r="F39" s="97" t="s">
        <v>585</v>
      </c>
      <c r="G39" s="98"/>
      <c r="H39" s="99" t="s">
        <v>586</v>
      </c>
      <c r="I39" s="100"/>
      <c r="J39" s="100"/>
      <c r="K39" s="100"/>
      <c r="L39" s="97" t="s">
        <v>579</v>
      </c>
      <c r="U39" s="104"/>
    </row>
    <row r="40" spans="1:21" x14ac:dyDescent="0.2">
      <c r="A40" s="87">
        <v>11</v>
      </c>
      <c r="B40" s="87" t="s">
        <v>526</v>
      </c>
      <c r="C40" s="87" t="s">
        <v>587</v>
      </c>
      <c r="D40" s="87" t="s">
        <v>588</v>
      </c>
      <c r="E40" s="97" t="s">
        <v>589</v>
      </c>
      <c r="F40" s="97" t="s">
        <v>233</v>
      </c>
      <c r="G40" s="98"/>
      <c r="H40" s="99" t="s">
        <v>590</v>
      </c>
      <c r="I40" s="100"/>
      <c r="J40" s="100"/>
      <c r="K40" s="100"/>
      <c r="L40" s="97" t="s">
        <v>559</v>
      </c>
      <c r="U40" s="86"/>
    </row>
    <row r="41" spans="1:21" x14ac:dyDescent="0.2">
      <c r="A41" s="87">
        <v>12</v>
      </c>
      <c r="B41" s="87" t="s">
        <v>526</v>
      </c>
      <c r="C41" s="87" t="s">
        <v>591</v>
      </c>
      <c r="D41" s="87" t="s">
        <v>588</v>
      </c>
      <c r="E41" s="97" t="s">
        <v>592</v>
      </c>
      <c r="F41" s="97" t="s">
        <v>233</v>
      </c>
      <c r="G41" s="98"/>
      <c r="H41" s="99" t="s">
        <v>593</v>
      </c>
      <c r="I41" s="100"/>
      <c r="J41" s="100"/>
      <c r="K41" s="100"/>
      <c r="L41" s="97" t="s">
        <v>559</v>
      </c>
      <c r="U41" s="86"/>
    </row>
    <row r="42" spans="1:21" x14ac:dyDescent="0.2">
      <c r="E42" s="101"/>
      <c r="F42" s="101"/>
      <c r="G42" s="100"/>
      <c r="H42" s="101"/>
      <c r="I42" s="100"/>
      <c r="J42" s="100"/>
      <c r="K42" s="100"/>
      <c r="L42" s="101"/>
    </row>
    <row r="43" spans="1:21" x14ac:dyDescent="0.2">
      <c r="E43" s="120" t="s">
        <v>594</v>
      </c>
      <c r="F43" s="101"/>
      <c r="G43" s="100"/>
      <c r="H43" s="101"/>
      <c r="I43" s="100"/>
      <c r="J43" s="100"/>
      <c r="K43" s="100"/>
      <c r="L43" s="105"/>
    </row>
    <row r="44" spans="1:21" x14ac:dyDescent="0.2">
      <c r="E44" s="106" t="s">
        <v>516</v>
      </c>
      <c r="F44" s="106" t="s">
        <v>5</v>
      </c>
      <c r="G44" s="98"/>
      <c r="H44" s="106" t="s">
        <v>215</v>
      </c>
      <c r="I44" s="100"/>
      <c r="J44" s="100"/>
      <c r="K44" s="100"/>
      <c r="L44" s="106" t="s">
        <v>517</v>
      </c>
    </row>
    <row r="45" spans="1:21" x14ac:dyDescent="0.2">
      <c r="A45" s="87">
        <v>13</v>
      </c>
      <c r="B45" s="87" t="s">
        <v>526</v>
      </c>
      <c r="C45" s="87" t="s">
        <v>595</v>
      </c>
      <c r="D45" s="87" t="s">
        <v>596</v>
      </c>
      <c r="E45" s="97" t="s">
        <v>597</v>
      </c>
      <c r="F45" s="97" t="s">
        <v>598</v>
      </c>
      <c r="G45" s="98"/>
      <c r="H45" s="99" t="s">
        <v>599</v>
      </c>
      <c r="I45" s="100"/>
      <c r="J45" s="100"/>
      <c r="K45" s="100"/>
      <c r="L45" s="97" t="s">
        <v>579</v>
      </c>
      <c r="U45" s="107"/>
    </row>
    <row r="46" spans="1:21" x14ac:dyDescent="0.2">
      <c r="G46" s="77"/>
    </row>
    <row r="47" spans="1:21" x14ac:dyDescent="0.2">
      <c r="G47" s="77"/>
    </row>
    <row r="48" spans="1:21" x14ac:dyDescent="0.2">
      <c r="G48" s="77"/>
    </row>
    <row r="51" spans="5:7" ht="15.75" thickBot="1" x14ac:dyDescent="0.25">
      <c r="E51" s="124" t="s">
        <v>600</v>
      </c>
      <c r="F51" s="108"/>
      <c r="G51" s="109"/>
    </row>
    <row r="52" spans="5:7" ht="15.75" thickBot="1" x14ac:dyDescent="0.25">
      <c r="E52" s="122" t="s">
        <v>601</v>
      </c>
      <c r="F52" s="123"/>
      <c r="G52" s="109"/>
    </row>
    <row r="53" spans="5:7" x14ac:dyDescent="0.2">
      <c r="E53" s="110" t="s">
        <v>602</v>
      </c>
      <c r="F53" s="121">
        <f>'1.0 Pre-Screen'!H41</f>
        <v>0</v>
      </c>
      <c r="G53" s="109"/>
    </row>
    <row r="54" spans="5:7" x14ac:dyDescent="0.2">
      <c r="E54" s="110" t="s">
        <v>648</v>
      </c>
      <c r="F54" s="114">
        <f>'1.0 Pre-Screen'!H48</f>
        <v>0</v>
      </c>
      <c r="G54" s="109"/>
    </row>
    <row r="55" spans="5:7" x14ac:dyDescent="0.2">
      <c r="E55" s="110" t="s">
        <v>649</v>
      </c>
      <c r="F55" s="125">
        <f>SUM(G12:K12)</f>
        <v>0</v>
      </c>
      <c r="G55" s="109"/>
    </row>
    <row r="56" spans="5:7" x14ac:dyDescent="0.2">
      <c r="E56" s="110" t="s">
        <v>650</v>
      </c>
      <c r="F56" s="125">
        <f>G36</f>
        <v>0</v>
      </c>
      <c r="G56" s="109"/>
    </row>
    <row r="57" spans="5:7" x14ac:dyDescent="0.2">
      <c r="E57" s="110" t="s">
        <v>603</v>
      </c>
      <c r="F57" s="125">
        <f>G32</f>
        <v>0</v>
      </c>
      <c r="G57" s="109"/>
    </row>
    <row r="58" spans="5:7" x14ac:dyDescent="0.2">
      <c r="E58" s="110" t="s">
        <v>604</v>
      </c>
      <c r="F58" s="125">
        <f>G34</f>
        <v>0</v>
      </c>
      <c r="G58" s="109"/>
    </row>
    <row r="59" spans="5:7" x14ac:dyDescent="0.2">
      <c r="E59" s="110" t="s">
        <v>605</v>
      </c>
      <c r="F59" s="126"/>
      <c r="G59" s="109"/>
    </row>
    <row r="60" spans="5:7" x14ac:dyDescent="0.2">
      <c r="E60" s="110" t="s">
        <v>606</v>
      </c>
      <c r="F60" s="127">
        <f>'3.0 Study Results'!B53</f>
        <v>0</v>
      </c>
      <c r="G60" s="109"/>
    </row>
    <row r="61" spans="5:7" x14ac:dyDescent="0.2">
      <c r="E61" s="110" t="s">
        <v>607</v>
      </c>
      <c r="F61" s="128">
        <f>'3.0 Study Results'!S49</f>
        <v>0</v>
      </c>
      <c r="G61" s="109"/>
    </row>
    <row r="62" spans="5:7" x14ac:dyDescent="0.2">
      <c r="E62" s="110" t="s">
        <v>608</v>
      </c>
      <c r="F62" s="128">
        <f>'3.0 Study Results'!S51</f>
        <v>0</v>
      </c>
      <c r="G62" s="109"/>
    </row>
    <row r="63" spans="5:7" x14ac:dyDescent="0.2">
      <c r="E63" s="110" t="s">
        <v>609</v>
      </c>
      <c r="F63" s="128">
        <f>'3.0 Study Results'!T49</f>
        <v>0</v>
      </c>
      <c r="G63" s="109"/>
    </row>
    <row r="64" spans="5:7" x14ac:dyDescent="0.2">
      <c r="E64" s="110" t="s">
        <v>610</v>
      </c>
      <c r="F64" s="128">
        <f>'3.0 Study Results'!T51</f>
        <v>0</v>
      </c>
      <c r="G64" s="109"/>
    </row>
    <row r="65" spans="5:7" x14ac:dyDescent="0.2">
      <c r="E65" s="110" t="s">
        <v>651</v>
      </c>
      <c r="F65" s="125" t="e">
        <f>'3.0 Study Results'!S12</f>
        <v>#DIV/0!</v>
      </c>
      <c r="G65" s="109"/>
    </row>
  </sheetData>
  <sheetProtection sheet="1" objects="1" scenarios="1"/>
  <printOptions gridLines="1"/>
  <pageMargins left="0" right="0" top="0.75" bottom="0.75" header="0.3" footer="0.3"/>
  <pageSetup scale="47" orientation="landscape" horizontalDpi="1200" verticalDpi="1200" r:id="rId1"/>
  <headerFooter>
    <oddHeader>&amp;F</oddHeader>
    <oddFooter>&amp;L&amp;BBC Hydro Confidential&amp;B&amp;C&amp;D&amp;RPage &amp;P</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'http://hydroshare/Users/smahdi/AppData/Local/Microsoft/Windows/Temporary Internet Files/Content.Outlook/Y4K5R03N/[xRM inputs required for LCE - Rev.4 rp20180219.xlsx]Fuel Types'!#REF!</xm:f>
          </x14:formula1>
          <xm:sqref>F11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theme="0" tint="-0.14999847407452621"/>
  </sheetPr>
  <dimension ref="A1:G31"/>
  <sheetViews>
    <sheetView zoomScale="85" zoomScaleNormal="85" workbookViewId="0">
      <pane xSplit="3" ySplit="1" topLeftCell="D2" activePane="bottomRight" state="frozen"/>
      <selection activeCell="E49" sqref="E49"/>
      <selection pane="topRight" activeCell="E49" sqref="E49"/>
      <selection pane="bottomLeft" activeCell="E49" sqref="E49"/>
      <selection pane="bottomRight" activeCell="D2" sqref="D2"/>
    </sheetView>
  </sheetViews>
  <sheetFormatPr defaultColWidth="0" defaultRowHeight="12.75" x14ac:dyDescent="0.2"/>
  <cols>
    <col min="1" max="1" width="10.85546875" style="399" bestFit="1" customWidth="1"/>
    <col min="2" max="3" width="13.28515625" style="399" customWidth="1"/>
    <col min="4" max="4" width="47.85546875" style="443" customWidth="1"/>
    <col min="5" max="5" width="52.85546875" style="444" customWidth="1"/>
    <col min="6" max="6" width="44.140625" style="443" customWidth="1"/>
    <col min="7" max="7" width="52.85546875" style="444" customWidth="1"/>
    <col min="8" max="16384" width="9.140625" style="75" hidden="1"/>
  </cols>
  <sheetData>
    <row r="1" spans="1:7" s="677" customFormat="1" ht="15.75" x14ac:dyDescent="0.2">
      <c r="A1" s="938" t="s">
        <v>473</v>
      </c>
      <c r="B1" s="939"/>
      <c r="C1" s="940"/>
      <c r="D1" s="675" t="s">
        <v>820</v>
      </c>
      <c r="E1" s="676" t="s">
        <v>820</v>
      </c>
      <c r="F1" s="675" t="s">
        <v>820</v>
      </c>
      <c r="G1" s="676" t="s">
        <v>820</v>
      </c>
    </row>
    <row r="2" spans="1:7" s="677" customFormat="1" ht="51" x14ac:dyDescent="0.2">
      <c r="A2" s="678" t="s">
        <v>508</v>
      </c>
      <c r="B2" s="679" t="s">
        <v>821</v>
      </c>
      <c r="C2" s="679" t="s">
        <v>509</v>
      </c>
      <c r="D2" s="679" t="s">
        <v>822</v>
      </c>
      <c r="E2" s="680" t="s">
        <v>823</v>
      </c>
      <c r="F2" s="679" t="s">
        <v>824</v>
      </c>
      <c r="G2" s="680" t="s">
        <v>825</v>
      </c>
    </row>
    <row r="3" spans="1:7" s="677" customFormat="1" x14ac:dyDescent="0.2">
      <c r="A3" s="681">
        <v>1</v>
      </c>
      <c r="C3" s="682"/>
      <c r="D3" s="683"/>
      <c r="E3" s="684"/>
      <c r="F3" s="683"/>
      <c r="G3" s="684"/>
    </row>
    <row r="4" spans="1:7" s="689" customFormat="1" x14ac:dyDescent="0.2">
      <c r="A4" s="685">
        <f>1+A3</f>
        <v>2</v>
      </c>
      <c r="B4" s="686"/>
      <c r="C4" s="686"/>
      <c r="D4" s="687"/>
      <c r="E4" s="688"/>
      <c r="F4" s="687"/>
      <c r="G4" s="688"/>
    </row>
    <row r="5" spans="1:7" s="689" customFormat="1" x14ac:dyDescent="0.2">
      <c r="A5" s="685">
        <f t="shared" ref="A5:A12" si="0">1+A4</f>
        <v>3</v>
      </c>
      <c r="B5" s="686"/>
      <c r="C5" s="686"/>
      <c r="D5" s="687"/>
      <c r="E5" s="688"/>
      <c r="F5" s="687"/>
      <c r="G5" s="688"/>
    </row>
    <row r="6" spans="1:7" s="689" customFormat="1" x14ac:dyDescent="0.2">
      <c r="A6" s="685">
        <f t="shared" si="0"/>
        <v>4</v>
      </c>
      <c r="B6" s="686"/>
      <c r="C6" s="686"/>
      <c r="D6" s="687"/>
      <c r="E6" s="688"/>
      <c r="F6" s="687"/>
      <c r="G6" s="688"/>
    </row>
    <row r="7" spans="1:7" s="689" customFormat="1" x14ac:dyDescent="0.2">
      <c r="A7" s="685">
        <f t="shared" si="0"/>
        <v>5</v>
      </c>
      <c r="B7" s="686"/>
      <c r="C7" s="686"/>
      <c r="D7" s="687"/>
      <c r="E7" s="688"/>
      <c r="F7" s="687"/>
      <c r="G7" s="688"/>
    </row>
    <row r="8" spans="1:7" s="689" customFormat="1" x14ac:dyDescent="0.2">
      <c r="A8" s="685">
        <f t="shared" si="0"/>
        <v>6</v>
      </c>
      <c r="B8" s="686"/>
      <c r="C8" s="686"/>
      <c r="D8" s="687"/>
      <c r="E8" s="688"/>
      <c r="F8" s="687"/>
      <c r="G8" s="688"/>
    </row>
    <row r="9" spans="1:7" s="689" customFormat="1" x14ac:dyDescent="0.2">
      <c r="A9" s="685">
        <f t="shared" si="0"/>
        <v>7</v>
      </c>
      <c r="B9" s="686"/>
      <c r="C9" s="686"/>
      <c r="D9" s="687"/>
      <c r="E9" s="688"/>
      <c r="F9" s="687"/>
      <c r="G9" s="688"/>
    </row>
    <row r="10" spans="1:7" s="689" customFormat="1" x14ac:dyDescent="0.2">
      <c r="A10" s="685">
        <f t="shared" si="0"/>
        <v>8</v>
      </c>
      <c r="B10" s="686"/>
      <c r="C10" s="686"/>
      <c r="D10" s="687"/>
      <c r="E10" s="688"/>
      <c r="F10" s="687"/>
      <c r="G10" s="688"/>
    </row>
    <row r="11" spans="1:7" s="689" customFormat="1" x14ac:dyDescent="0.2">
      <c r="A11" s="685">
        <f t="shared" si="0"/>
        <v>9</v>
      </c>
      <c r="B11" s="686"/>
      <c r="C11" s="686"/>
      <c r="D11" s="687"/>
      <c r="E11" s="688"/>
      <c r="F11" s="687"/>
      <c r="G11" s="688"/>
    </row>
    <row r="12" spans="1:7" s="689" customFormat="1" x14ac:dyDescent="0.2">
      <c r="A12" s="685">
        <f t="shared" si="0"/>
        <v>10</v>
      </c>
      <c r="B12" s="686"/>
      <c r="C12" s="686"/>
      <c r="D12" s="687"/>
      <c r="E12" s="688"/>
      <c r="F12" s="687"/>
      <c r="G12" s="688"/>
    </row>
    <row r="13" spans="1:7" s="74" customFormat="1" x14ac:dyDescent="0.2">
      <c r="A13" s="398"/>
      <c r="B13" s="398"/>
      <c r="C13" s="398"/>
      <c r="D13" s="441"/>
      <c r="E13" s="442"/>
      <c r="F13" s="441"/>
      <c r="G13" s="442"/>
    </row>
    <row r="14" spans="1:7" s="74" customFormat="1" x14ac:dyDescent="0.2">
      <c r="A14" s="398"/>
      <c r="B14" s="398"/>
      <c r="C14" s="398"/>
      <c r="D14" s="441"/>
      <c r="E14" s="442"/>
      <c r="F14" s="441"/>
      <c r="G14" s="442"/>
    </row>
    <row r="15" spans="1:7" s="74" customFormat="1" x14ac:dyDescent="0.2">
      <c r="A15" s="398"/>
      <c r="B15" s="398"/>
      <c r="C15" s="398"/>
      <c r="D15" s="441"/>
      <c r="E15" s="442"/>
      <c r="F15" s="441"/>
      <c r="G15" s="442"/>
    </row>
    <row r="16" spans="1:7" s="74" customFormat="1" x14ac:dyDescent="0.2">
      <c r="A16" s="398"/>
      <c r="B16" s="398"/>
      <c r="C16" s="398"/>
      <c r="D16" s="441"/>
      <c r="E16" s="442"/>
      <c r="F16" s="441"/>
      <c r="G16" s="442"/>
    </row>
    <row r="17" spans="1:7" s="74" customFormat="1" x14ac:dyDescent="0.2">
      <c r="A17" s="398"/>
      <c r="B17" s="398"/>
      <c r="C17" s="398"/>
      <c r="D17" s="441"/>
      <c r="E17" s="442"/>
      <c r="F17" s="441"/>
      <c r="G17" s="442"/>
    </row>
    <row r="18" spans="1:7" s="74" customFormat="1" x14ac:dyDescent="0.2">
      <c r="A18" s="398"/>
      <c r="B18" s="398"/>
      <c r="C18" s="398"/>
      <c r="D18" s="441"/>
      <c r="E18" s="442"/>
      <c r="F18" s="441"/>
      <c r="G18" s="442"/>
    </row>
    <row r="19" spans="1:7" s="74" customFormat="1" x14ac:dyDescent="0.2">
      <c r="A19" s="398"/>
      <c r="B19" s="398"/>
      <c r="C19" s="398"/>
      <c r="D19" s="441"/>
      <c r="E19" s="442"/>
      <c r="F19" s="441"/>
      <c r="G19" s="442"/>
    </row>
    <row r="20" spans="1:7" s="74" customFormat="1" ht="12" customHeight="1" x14ac:dyDescent="0.2">
      <c r="A20" s="398"/>
      <c r="B20" s="398"/>
      <c r="C20" s="398"/>
      <c r="D20" s="441"/>
      <c r="E20" s="442"/>
      <c r="F20" s="441"/>
      <c r="G20" s="442"/>
    </row>
    <row r="21" spans="1:7" s="74" customFormat="1" x14ac:dyDescent="0.2">
      <c r="A21" s="398"/>
      <c r="B21" s="398"/>
      <c r="C21" s="398"/>
      <c r="D21" s="441"/>
      <c r="E21" s="442"/>
      <c r="F21" s="441"/>
      <c r="G21" s="442"/>
    </row>
    <row r="22" spans="1:7" s="74" customFormat="1" x14ac:dyDescent="0.2">
      <c r="A22" s="398"/>
      <c r="B22" s="398"/>
      <c r="C22" s="398"/>
      <c r="D22" s="441"/>
      <c r="E22" s="442"/>
      <c r="F22" s="441"/>
      <c r="G22" s="442"/>
    </row>
    <row r="23" spans="1:7" s="74" customFormat="1" x14ac:dyDescent="0.2">
      <c r="A23" s="398"/>
      <c r="B23" s="398"/>
      <c r="C23" s="398"/>
      <c r="D23" s="441"/>
      <c r="E23" s="442"/>
      <c r="F23" s="441"/>
      <c r="G23" s="442"/>
    </row>
    <row r="24" spans="1:7" s="74" customFormat="1" x14ac:dyDescent="0.2">
      <c r="A24" s="398"/>
      <c r="B24" s="398"/>
      <c r="C24" s="398"/>
      <c r="D24" s="441"/>
      <c r="E24" s="442"/>
      <c r="F24" s="441"/>
      <c r="G24" s="442"/>
    </row>
    <row r="25" spans="1:7" s="74" customFormat="1" x14ac:dyDescent="0.2">
      <c r="A25" s="398"/>
      <c r="B25" s="398"/>
      <c r="C25" s="398"/>
      <c r="D25" s="441"/>
      <c r="E25" s="442"/>
      <c r="F25" s="441"/>
      <c r="G25" s="442"/>
    </row>
    <row r="26" spans="1:7" s="74" customFormat="1" x14ac:dyDescent="0.2">
      <c r="A26" s="398"/>
      <c r="B26" s="398"/>
      <c r="C26" s="398"/>
      <c r="D26" s="441"/>
      <c r="E26" s="442"/>
      <c r="F26" s="441"/>
      <c r="G26" s="442"/>
    </row>
    <row r="27" spans="1:7" s="74" customFormat="1" x14ac:dyDescent="0.2">
      <c r="A27" s="398"/>
      <c r="B27" s="398"/>
      <c r="C27" s="398"/>
      <c r="D27" s="441"/>
      <c r="E27" s="442"/>
      <c r="F27" s="441"/>
      <c r="G27" s="442"/>
    </row>
    <row r="28" spans="1:7" s="74" customFormat="1" x14ac:dyDescent="0.2">
      <c r="A28" s="398"/>
      <c r="B28" s="398"/>
      <c r="C28" s="398"/>
      <c r="D28" s="441"/>
      <c r="E28" s="442"/>
      <c r="F28" s="441"/>
      <c r="G28" s="442"/>
    </row>
    <row r="29" spans="1:7" s="74" customFormat="1" x14ac:dyDescent="0.2">
      <c r="A29" s="398"/>
      <c r="B29" s="398"/>
      <c r="C29" s="398"/>
      <c r="D29" s="441"/>
      <c r="E29" s="442"/>
      <c r="F29" s="441"/>
      <c r="G29" s="442"/>
    </row>
    <row r="30" spans="1:7" s="74" customFormat="1" x14ac:dyDescent="0.2">
      <c r="A30" s="398"/>
      <c r="B30" s="398"/>
      <c r="C30" s="398"/>
      <c r="D30" s="441"/>
      <c r="E30" s="442"/>
      <c r="F30" s="441"/>
      <c r="G30" s="442"/>
    </row>
    <row r="31" spans="1:7" s="74" customFormat="1" x14ac:dyDescent="0.2">
      <c r="A31" s="398"/>
      <c r="B31" s="398"/>
      <c r="C31" s="398"/>
      <c r="D31" s="441"/>
      <c r="E31" s="442"/>
      <c r="F31" s="441"/>
      <c r="G31" s="442"/>
    </row>
  </sheetData>
  <sheetProtection algorithmName="SHA-512" hashValue="zcgHik/oJvetGF8T0eya4iHqAzK8n0IBlMWwaMcFP8QG5QfR/XEMfOw6FLdLnNt67ZDGL5lC6BWdaEVckD8jMA==" saltValue="OIvNbr7t4LmAIMjZiWaJWw==" spinCount="100000" sheet="1" scenarios="1"/>
  <mergeCells count="1">
    <mergeCell ref="A1:C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B1:I41"/>
  <sheetViews>
    <sheetView workbookViewId="0">
      <selection activeCell="E49" sqref="E49"/>
    </sheetView>
  </sheetViews>
  <sheetFormatPr defaultColWidth="9.140625" defaultRowHeight="12.75" x14ac:dyDescent="0.2"/>
  <cols>
    <col min="1" max="1" width="9.140625" style="418"/>
    <col min="2" max="2" width="84.28515625" style="418" customWidth="1"/>
    <col min="3" max="3" width="12.85546875" style="418" customWidth="1"/>
    <col min="4" max="4" width="13.42578125" style="418" customWidth="1"/>
    <col min="5" max="5" width="9.140625" style="418"/>
    <col min="6" max="6" width="68.140625" style="418" customWidth="1"/>
    <col min="7" max="7" width="13.28515625" style="418" customWidth="1"/>
    <col min="8" max="8" width="12.7109375" style="418" customWidth="1"/>
    <col min="9" max="16384" width="9.140625" style="418"/>
  </cols>
  <sheetData>
    <row r="1" spans="2:9" ht="33.75" customHeight="1" x14ac:dyDescent="0.2">
      <c r="B1" s="439" t="s">
        <v>808</v>
      </c>
      <c r="C1" s="440"/>
      <c r="D1" s="440"/>
      <c r="E1" s="440"/>
      <c r="F1" s="440"/>
      <c r="G1" s="440"/>
      <c r="H1" s="440"/>
    </row>
    <row r="3" spans="2:9" ht="18" customHeight="1" x14ac:dyDescent="0.3">
      <c r="B3" s="416" t="s">
        <v>797</v>
      </c>
      <c r="C3" s="416" t="s">
        <v>790</v>
      </c>
    </row>
    <row r="4" spans="2:9" ht="18" customHeight="1" x14ac:dyDescent="0.25">
      <c r="B4" s="425" t="s">
        <v>798</v>
      </c>
      <c r="C4" s="418" t="s">
        <v>800</v>
      </c>
      <c r="D4" s="414"/>
    </row>
    <row r="5" spans="2:9" ht="18" customHeight="1" x14ac:dyDescent="0.25">
      <c r="B5" s="425" t="s">
        <v>799</v>
      </c>
      <c r="C5" s="418" t="s">
        <v>800</v>
      </c>
      <c r="D5" s="414"/>
    </row>
    <row r="6" spans="2:9" ht="18" customHeight="1" x14ac:dyDescent="0.3">
      <c r="B6" s="416"/>
    </row>
    <row r="7" spans="2:9" ht="18.75" x14ac:dyDescent="0.3">
      <c r="B7" s="416" t="s">
        <v>801</v>
      </c>
      <c r="C7" s="416" t="s">
        <v>790</v>
      </c>
      <c r="D7" s="417"/>
      <c r="E7" s="417"/>
      <c r="F7" s="416" t="s">
        <v>777</v>
      </c>
      <c r="G7" s="416" t="s">
        <v>790</v>
      </c>
      <c r="H7" s="417"/>
    </row>
    <row r="8" spans="2:9" ht="15.75" x14ac:dyDescent="0.25">
      <c r="B8" s="425" t="s">
        <v>785</v>
      </c>
      <c r="C8" s="425" t="s">
        <v>791</v>
      </c>
      <c r="D8" s="414"/>
      <c r="E8" s="425"/>
      <c r="F8" s="417" t="s">
        <v>775</v>
      </c>
      <c r="G8" s="417" t="s">
        <v>791</v>
      </c>
      <c r="H8" s="414"/>
    </row>
    <row r="9" spans="2:9" ht="14.25" customHeight="1" x14ac:dyDescent="0.25">
      <c r="B9" s="430" t="s">
        <v>784</v>
      </c>
      <c r="C9" s="434" t="s">
        <v>791</v>
      </c>
      <c r="D9" s="414"/>
      <c r="E9" s="426" t="s">
        <v>781</v>
      </c>
      <c r="F9" s="417" t="s">
        <v>783</v>
      </c>
      <c r="G9" s="417" t="s">
        <v>792</v>
      </c>
      <c r="H9" s="415"/>
      <c r="I9" s="418" t="s">
        <v>778</v>
      </c>
    </row>
    <row r="10" spans="2:9" ht="14.25" customHeight="1" x14ac:dyDescent="0.25">
      <c r="B10" s="431" t="s">
        <v>786</v>
      </c>
      <c r="C10" s="434" t="s">
        <v>792</v>
      </c>
      <c r="D10" s="414"/>
      <c r="E10" s="425" t="s">
        <v>420</v>
      </c>
      <c r="F10" s="434" t="s">
        <v>794</v>
      </c>
      <c r="G10" s="425"/>
      <c r="H10" s="420">
        <f>D14/1000</f>
        <v>0</v>
      </c>
      <c r="I10" s="418" t="s">
        <v>778</v>
      </c>
    </row>
    <row r="11" spans="2:9" ht="14.25" customHeight="1" x14ac:dyDescent="0.25">
      <c r="B11" s="432" t="s">
        <v>787</v>
      </c>
      <c r="C11" s="434"/>
      <c r="D11" s="419">
        <f>SQRT(3)*D9*D10/1000</f>
        <v>0</v>
      </c>
      <c r="E11" s="426" t="s">
        <v>782</v>
      </c>
      <c r="F11" s="417" t="s">
        <v>795</v>
      </c>
      <c r="G11" s="417"/>
      <c r="H11" s="420" t="str">
        <f>IF(H9=0,"NA",H9-H10)</f>
        <v>NA</v>
      </c>
      <c r="I11" s="421" t="s">
        <v>778</v>
      </c>
    </row>
    <row r="12" spans="2:9" ht="15.75" x14ac:dyDescent="0.25">
      <c r="F12" s="421" t="s">
        <v>780</v>
      </c>
      <c r="G12" s="421" t="s">
        <v>792</v>
      </c>
      <c r="H12" s="414"/>
    </row>
    <row r="13" spans="2:9" ht="15.75" x14ac:dyDescent="0.25">
      <c r="B13" s="434" t="s">
        <v>789</v>
      </c>
      <c r="C13" s="434" t="s">
        <v>792</v>
      </c>
      <c r="D13" s="414"/>
      <c r="E13" s="426" t="s">
        <v>782</v>
      </c>
      <c r="F13" s="422" t="s">
        <v>779</v>
      </c>
      <c r="G13" s="422"/>
      <c r="H13" s="417"/>
    </row>
    <row r="14" spans="2:9" ht="15.75" x14ac:dyDescent="0.25">
      <c r="B14" s="433" t="s">
        <v>796</v>
      </c>
      <c r="C14" s="434" t="s">
        <v>793</v>
      </c>
      <c r="D14" s="414"/>
      <c r="E14" s="425" t="s">
        <v>782</v>
      </c>
      <c r="F14" s="436" t="str">
        <f>IF(H11&lt;=2,"Low Capacity - Contact the KAM and appropriate Distribution Planner as per PQWEB","Substation capacity within limits")</f>
        <v>Substation capacity within limits</v>
      </c>
      <c r="G14" s="423"/>
      <c r="H14" s="417"/>
    </row>
    <row r="15" spans="2:9" ht="15.75" x14ac:dyDescent="0.25">
      <c r="B15" s="425" t="s">
        <v>788</v>
      </c>
      <c r="C15" s="425"/>
      <c r="D15" s="419">
        <f>D13+D14</f>
        <v>0</v>
      </c>
      <c r="E15" s="418" t="s">
        <v>782</v>
      </c>
      <c r="F15" s="424"/>
      <c r="G15" s="424"/>
      <c r="H15" s="424"/>
    </row>
    <row r="16" spans="2:9" ht="15.75" x14ac:dyDescent="0.25">
      <c r="B16" s="427" t="s">
        <v>776</v>
      </c>
      <c r="C16" s="427"/>
      <c r="D16" s="428" t="str">
        <f>IF(D13=0,"NA",D15/D11)</f>
        <v>NA</v>
      </c>
      <c r="E16" s="425"/>
      <c r="F16" s="424"/>
      <c r="G16" s="424"/>
      <c r="H16" s="424"/>
    </row>
    <row r="17" spans="2:8" ht="15.75" x14ac:dyDescent="0.25">
      <c r="B17" s="435" t="str">
        <f>IF(D16&gt;0.8,"Limits exceeded - Contact the KAM and appropriate Distribution Planner as per PQWEB","Feeder limits not exceeded")</f>
        <v>Limits exceeded - Contact the KAM and appropriate Distribution Planner as per PQWEB</v>
      </c>
      <c r="C17" s="429"/>
      <c r="D17" s="425"/>
      <c r="E17" s="425"/>
      <c r="F17" s="424"/>
      <c r="G17" s="424"/>
      <c r="H17" s="424"/>
    </row>
    <row r="18" spans="2:8" ht="15" x14ac:dyDescent="0.2">
      <c r="B18" s="424"/>
      <c r="C18" s="424"/>
      <c r="D18" s="424"/>
      <c r="E18" s="424"/>
      <c r="F18" s="424"/>
      <c r="G18" s="424"/>
      <c r="H18" s="424"/>
    </row>
    <row r="19" spans="2:8" ht="18.75" x14ac:dyDescent="0.3">
      <c r="B19" s="416" t="s">
        <v>802</v>
      </c>
      <c r="C19" s="416" t="s">
        <v>790</v>
      </c>
      <c r="D19" s="417"/>
      <c r="E19" s="417"/>
    </row>
    <row r="20" spans="2:8" ht="15.75" x14ac:dyDescent="0.25">
      <c r="B20" s="425" t="s">
        <v>785</v>
      </c>
      <c r="C20" s="425" t="s">
        <v>791</v>
      </c>
      <c r="D20" s="414"/>
      <c r="E20" s="425"/>
    </row>
    <row r="21" spans="2:8" ht="15.75" x14ac:dyDescent="0.25">
      <c r="B21" s="434" t="s">
        <v>784</v>
      </c>
      <c r="C21" s="434" t="s">
        <v>791</v>
      </c>
      <c r="D21" s="414"/>
      <c r="E21" s="426" t="s">
        <v>781</v>
      </c>
    </row>
    <row r="22" spans="2:8" ht="15.75" x14ac:dyDescent="0.25">
      <c r="B22" s="434" t="s">
        <v>786</v>
      </c>
      <c r="C22" s="434" t="s">
        <v>792</v>
      </c>
      <c r="D22" s="414"/>
      <c r="E22" s="425" t="s">
        <v>420</v>
      </c>
    </row>
    <row r="23" spans="2:8" ht="15.75" x14ac:dyDescent="0.25">
      <c r="B23" s="434" t="s">
        <v>787</v>
      </c>
      <c r="C23" s="434"/>
      <c r="D23" s="419">
        <f>SQRT(3)*D21*D22/1000</f>
        <v>0</v>
      </c>
      <c r="E23" s="426" t="s">
        <v>782</v>
      </c>
    </row>
    <row r="25" spans="2:8" ht="15.75" x14ac:dyDescent="0.25">
      <c r="B25" s="434" t="s">
        <v>789</v>
      </c>
      <c r="C25" s="434" t="s">
        <v>792</v>
      </c>
      <c r="D25" s="414"/>
      <c r="E25" s="426" t="s">
        <v>782</v>
      </c>
    </row>
    <row r="26" spans="2:8" ht="15.75" x14ac:dyDescent="0.25">
      <c r="B26" s="434" t="s">
        <v>796</v>
      </c>
      <c r="C26" s="434" t="s">
        <v>793</v>
      </c>
      <c r="D26" s="414"/>
      <c r="E26" s="425" t="s">
        <v>782</v>
      </c>
    </row>
    <row r="27" spans="2:8" ht="15.75" x14ac:dyDescent="0.25">
      <c r="B27" s="425" t="s">
        <v>788</v>
      </c>
      <c r="C27" s="425"/>
      <c r="D27" s="419">
        <f>D25+D26</f>
        <v>0</v>
      </c>
      <c r="E27" s="418" t="s">
        <v>782</v>
      </c>
    </row>
    <row r="28" spans="2:8" ht="15.75" x14ac:dyDescent="0.25">
      <c r="B28" s="427" t="s">
        <v>776</v>
      </c>
      <c r="C28" s="427"/>
      <c r="D28" s="428" t="str">
        <f>IF(D25=0,"NA",D27/D23)</f>
        <v>NA</v>
      </c>
      <c r="E28" s="425"/>
    </row>
    <row r="29" spans="2:8" ht="15.75" x14ac:dyDescent="0.25">
      <c r="B29" s="435" t="str">
        <f>IF(D28&gt;0.8,"Limits exceeded - Contact the KAM and appropriate Distribution Planner as per PQWEB","Feeder limits not exceeded")</f>
        <v>Limits exceeded - Contact the KAM and appropriate Distribution Planner as per PQWEB</v>
      </c>
      <c r="C29" s="429"/>
      <c r="D29" s="425"/>
      <c r="E29" s="425"/>
    </row>
    <row r="31" spans="2:8" ht="18.75" x14ac:dyDescent="0.3">
      <c r="B31" s="416" t="s">
        <v>805</v>
      </c>
      <c r="F31" s="416" t="s">
        <v>803</v>
      </c>
    </row>
    <row r="32" spans="2:8" ht="15.75" x14ac:dyDescent="0.25">
      <c r="B32" s="438" t="s">
        <v>807</v>
      </c>
      <c r="F32" s="438" t="s">
        <v>807</v>
      </c>
    </row>
    <row r="33" spans="2:8" ht="15.75" x14ac:dyDescent="0.25">
      <c r="B33" s="434" t="s">
        <v>805</v>
      </c>
      <c r="C33" s="437" t="s">
        <v>233</v>
      </c>
      <c r="D33" s="414"/>
      <c r="F33" s="434" t="s">
        <v>803</v>
      </c>
      <c r="G33" s="437" t="s">
        <v>233</v>
      </c>
      <c r="H33" s="414"/>
    </row>
    <row r="34" spans="2:8" ht="15.75" x14ac:dyDescent="0.25">
      <c r="B34" s="434" t="s">
        <v>804</v>
      </c>
      <c r="C34" s="437" t="s">
        <v>233</v>
      </c>
      <c r="D34" s="414"/>
      <c r="F34" s="434" t="s">
        <v>804</v>
      </c>
      <c r="G34" s="437" t="s">
        <v>233</v>
      </c>
      <c r="H34" s="414"/>
    </row>
    <row r="35" spans="2:8" ht="15.75" x14ac:dyDescent="0.25">
      <c r="B35" s="434"/>
      <c r="C35" s="437"/>
    </row>
    <row r="36" spans="2:8" ht="15.75" x14ac:dyDescent="0.25">
      <c r="B36" s="417" t="s">
        <v>806</v>
      </c>
      <c r="F36" s="417" t="s">
        <v>806</v>
      </c>
    </row>
    <row r="37" spans="2:8" ht="15.75" customHeight="1" x14ac:dyDescent="0.2">
      <c r="B37" s="941"/>
      <c r="C37" s="942"/>
      <c r="D37" s="943"/>
      <c r="F37" s="941"/>
      <c r="G37" s="942"/>
      <c r="H37" s="943"/>
    </row>
    <row r="38" spans="2:8" ht="15.75" customHeight="1" x14ac:dyDescent="0.2">
      <c r="B38" s="944"/>
      <c r="C38" s="945"/>
      <c r="D38" s="946"/>
      <c r="F38" s="944"/>
      <c r="G38" s="945"/>
      <c r="H38" s="946"/>
    </row>
    <row r="39" spans="2:8" ht="15.75" customHeight="1" x14ac:dyDescent="0.2">
      <c r="B39" s="944"/>
      <c r="C39" s="945"/>
      <c r="D39" s="946"/>
      <c r="F39" s="944"/>
      <c r="G39" s="945"/>
      <c r="H39" s="946"/>
    </row>
    <row r="40" spans="2:8" ht="15.75" customHeight="1" x14ac:dyDescent="0.2">
      <c r="B40" s="944"/>
      <c r="C40" s="945"/>
      <c r="D40" s="946"/>
      <c r="F40" s="944"/>
      <c r="G40" s="945"/>
      <c r="H40" s="946"/>
    </row>
    <row r="41" spans="2:8" ht="15.75" customHeight="1" x14ac:dyDescent="0.2">
      <c r="B41" s="947"/>
      <c r="C41" s="948"/>
      <c r="D41" s="949"/>
      <c r="F41" s="947"/>
      <c r="G41" s="948"/>
      <c r="H41" s="949"/>
    </row>
  </sheetData>
  <sheetProtection password="C9E5" sheet="1" objects="1" scenarios="1"/>
  <mergeCells count="2">
    <mergeCell ref="B37:D41"/>
    <mergeCell ref="F37:H41"/>
  </mergeCells>
  <pageMargins left="0.7" right="0.7" top="0.75" bottom="0.75" header="0.3" footer="0.3"/>
  <pageSetup orientation="portrait" r:id="rId1"/>
  <ignoredErrors>
    <ignoredError sqref="H11" unlocked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0" tint="-0.14999847407452621"/>
  </sheetPr>
  <dimension ref="A1:G29"/>
  <sheetViews>
    <sheetView zoomScale="85" zoomScaleNormal="85" workbookViewId="0">
      <pane xSplit="3" ySplit="12" topLeftCell="D13" activePane="bottomRight" state="frozen"/>
      <selection activeCell="E49" sqref="E49"/>
      <selection pane="topRight" activeCell="E49" sqref="E49"/>
      <selection pane="bottomLeft" activeCell="E49" sqref="E49"/>
      <selection pane="bottomRight" activeCell="D13" sqref="D13"/>
    </sheetView>
  </sheetViews>
  <sheetFormatPr defaultColWidth="0" defaultRowHeight="12.75" x14ac:dyDescent="0.2"/>
  <cols>
    <col min="1" max="1" width="10.85546875" style="75" bestFit="1" customWidth="1"/>
    <col min="2" max="3" width="13.28515625" style="75" customWidth="1"/>
    <col min="4" max="4" width="47.85546875" style="446" customWidth="1"/>
    <col min="5" max="5" width="52.85546875" style="444" customWidth="1"/>
    <col min="6" max="6" width="44.140625" style="446" customWidth="1"/>
    <col min="7" max="7" width="52.85546875" style="444" customWidth="1"/>
    <col min="8" max="16384" width="9.140625" style="75" hidden="1"/>
  </cols>
  <sheetData>
    <row r="1" spans="1:7" s="677" customFormat="1" ht="15.75" x14ac:dyDescent="0.2">
      <c r="A1" s="938" t="s">
        <v>473</v>
      </c>
      <c r="B1" s="939"/>
      <c r="C1" s="940"/>
      <c r="D1" s="675" t="s">
        <v>820</v>
      </c>
      <c r="E1" s="676" t="s">
        <v>820</v>
      </c>
      <c r="F1" s="675" t="s">
        <v>820</v>
      </c>
      <c r="G1" s="676" t="s">
        <v>820</v>
      </c>
    </row>
    <row r="2" spans="1:7" s="677" customFormat="1" ht="51" x14ac:dyDescent="0.2">
      <c r="A2" s="678" t="s">
        <v>508</v>
      </c>
      <c r="B2" s="679" t="s">
        <v>821</v>
      </c>
      <c r="C2" s="679" t="s">
        <v>509</v>
      </c>
      <c r="D2" s="679" t="s">
        <v>822</v>
      </c>
      <c r="E2" s="680" t="s">
        <v>823</v>
      </c>
      <c r="F2" s="679" t="s">
        <v>824</v>
      </c>
      <c r="G2" s="680" t="s">
        <v>825</v>
      </c>
    </row>
    <row r="3" spans="1:7" s="677" customFormat="1" x14ac:dyDescent="0.2">
      <c r="A3" s="681">
        <v>1</v>
      </c>
      <c r="C3" s="682"/>
      <c r="D3" s="683"/>
      <c r="E3" s="684"/>
      <c r="F3" s="683"/>
      <c r="G3" s="684"/>
    </row>
    <row r="4" spans="1:7" s="689" customFormat="1" x14ac:dyDescent="0.2">
      <c r="A4" s="685">
        <f>1+A3</f>
        <v>2</v>
      </c>
      <c r="B4" s="686"/>
      <c r="C4" s="686"/>
      <c r="D4" s="687"/>
      <c r="E4" s="688"/>
      <c r="F4" s="687"/>
      <c r="G4" s="688"/>
    </row>
    <row r="5" spans="1:7" s="689" customFormat="1" x14ac:dyDescent="0.2">
      <c r="A5" s="685">
        <f t="shared" ref="A5:A12" si="0">1+A4</f>
        <v>3</v>
      </c>
      <c r="B5" s="686"/>
      <c r="C5" s="686"/>
      <c r="D5" s="687"/>
      <c r="E5" s="688"/>
      <c r="F5" s="687"/>
      <c r="G5" s="688"/>
    </row>
    <row r="6" spans="1:7" s="689" customFormat="1" x14ac:dyDescent="0.2">
      <c r="A6" s="685">
        <f t="shared" si="0"/>
        <v>4</v>
      </c>
      <c r="B6" s="686"/>
      <c r="C6" s="686"/>
      <c r="D6" s="687"/>
      <c r="E6" s="688"/>
      <c r="F6" s="687"/>
      <c r="G6" s="688"/>
    </row>
    <row r="7" spans="1:7" s="689" customFormat="1" x14ac:dyDescent="0.2">
      <c r="A7" s="685">
        <f t="shared" si="0"/>
        <v>5</v>
      </c>
      <c r="B7" s="686"/>
      <c r="C7" s="686"/>
      <c r="D7" s="687"/>
      <c r="E7" s="688"/>
      <c r="F7" s="687"/>
      <c r="G7" s="688"/>
    </row>
    <row r="8" spans="1:7" s="689" customFormat="1" x14ac:dyDescent="0.2">
      <c r="A8" s="685">
        <f t="shared" si="0"/>
        <v>6</v>
      </c>
      <c r="B8" s="686"/>
      <c r="C8" s="686"/>
      <c r="D8" s="687"/>
      <c r="E8" s="688"/>
      <c r="F8" s="687"/>
      <c r="G8" s="688"/>
    </row>
    <row r="9" spans="1:7" s="689" customFormat="1" x14ac:dyDescent="0.2">
      <c r="A9" s="685">
        <f t="shared" si="0"/>
        <v>7</v>
      </c>
      <c r="B9" s="686"/>
      <c r="C9" s="686"/>
      <c r="D9" s="687"/>
      <c r="E9" s="688"/>
      <c r="F9" s="687"/>
      <c r="G9" s="688"/>
    </row>
    <row r="10" spans="1:7" s="689" customFormat="1" x14ac:dyDescent="0.2">
      <c r="A10" s="685">
        <f t="shared" si="0"/>
        <v>8</v>
      </c>
      <c r="B10" s="686"/>
      <c r="C10" s="686"/>
      <c r="D10" s="687"/>
      <c r="E10" s="688"/>
      <c r="F10" s="687"/>
      <c r="G10" s="688"/>
    </row>
    <row r="11" spans="1:7" s="689" customFormat="1" x14ac:dyDescent="0.2">
      <c r="A11" s="685">
        <f t="shared" si="0"/>
        <v>9</v>
      </c>
      <c r="B11" s="686"/>
      <c r="C11" s="686"/>
      <c r="D11" s="687"/>
      <c r="E11" s="688"/>
      <c r="F11" s="687"/>
      <c r="G11" s="688"/>
    </row>
    <row r="12" spans="1:7" s="689" customFormat="1" x14ac:dyDescent="0.2">
      <c r="A12" s="685">
        <f t="shared" si="0"/>
        <v>10</v>
      </c>
      <c r="B12" s="686"/>
      <c r="C12" s="686"/>
      <c r="D12" s="687"/>
      <c r="E12" s="688"/>
      <c r="F12" s="687"/>
      <c r="G12" s="688"/>
    </row>
    <row r="13" spans="1:7" s="74" customFormat="1" x14ac:dyDescent="0.2">
      <c r="D13" s="445"/>
      <c r="E13" s="442"/>
      <c r="F13" s="445"/>
      <c r="G13" s="442"/>
    </row>
    <row r="14" spans="1:7" s="74" customFormat="1" x14ac:dyDescent="0.2">
      <c r="D14" s="445"/>
      <c r="E14" s="442"/>
      <c r="F14" s="445"/>
      <c r="G14" s="442"/>
    </row>
    <row r="15" spans="1:7" s="74" customFormat="1" x14ac:dyDescent="0.2">
      <c r="D15" s="445"/>
      <c r="E15" s="442"/>
      <c r="F15" s="445"/>
      <c r="G15" s="442"/>
    </row>
    <row r="16" spans="1:7" s="74" customFormat="1" x14ac:dyDescent="0.2">
      <c r="D16" s="445"/>
      <c r="E16" s="442"/>
      <c r="F16" s="445"/>
      <c r="G16" s="442"/>
    </row>
    <row r="17" spans="4:7" s="74" customFormat="1" x14ac:dyDescent="0.2">
      <c r="D17" s="445"/>
      <c r="E17" s="442"/>
      <c r="F17" s="445"/>
      <c r="G17" s="442"/>
    </row>
    <row r="18" spans="4:7" s="74" customFormat="1" x14ac:dyDescent="0.2">
      <c r="D18" s="445"/>
      <c r="E18" s="442"/>
      <c r="F18" s="445"/>
      <c r="G18" s="442"/>
    </row>
    <row r="19" spans="4:7" s="74" customFormat="1" x14ac:dyDescent="0.2">
      <c r="D19" s="445"/>
      <c r="E19" s="442"/>
      <c r="F19" s="445"/>
      <c r="G19" s="442"/>
    </row>
    <row r="20" spans="4:7" s="74" customFormat="1" x14ac:dyDescent="0.2">
      <c r="D20" s="445"/>
      <c r="E20" s="442"/>
      <c r="F20" s="445"/>
      <c r="G20" s="442"/>
    </row>
    <row r="21" spans="4:7" s="74" customFormat="1" x14ac:dyDescent="0.2">
      <c r="D21" s="445"/>
      <c r="E21" s="442"/>
      <c r="F21" s="445"/>
      <c r="G21" s="442"/>
    </row>
    <row r="22" spans="4:7" s="74" customFormat="1" x14ac:dyDescent="0.2">
      <c r="D22" s="445"/>
      <c r="E22" s="442"/>
      <c r="F22" s="445"/>
      <c r="G22" s="442"/>
    </row>
    <row r="23" spans="4:7" s="74" customFormat="1" x14ac:dyDescent="0.2">
      <c r="D23" s="445"/>
      <c r="E23" s="442"/>
      <c r="F23" s="445"/>
      <c r="G23" s="442"/>
    </row>
    <row r="24" spans="4:7" s="74" customFormat="1" x14ac:dyDescent="0.2">
      <c r="D24" s="445"/>
      <c r="E24" s="442"/>
      <c r="F24" s="445"/>
      <c r="G24" s="442"/>
    </row>
    <row r="25" spans="4:7" s="74" customFormat="1" x14ac:dyDescent="0.2">
      <c r="D25" s="445"/>
      <c r="E25" s="442"/>
      <c r="F25" s="445"/>
      <c r="G25" s="442"/>
    </row>
    <row r="26" spans="4:7" s="74" customFormat="1" x14ac:dyDescent="0.2">
      <c r="D26" s="445"/>
      <c r="E26" s="442"/>
      <c r="F26" s="445"/>
      <c r="G26" s="442"/>
    </row>
    <row r="27" spans="4:7" s="74" customFormat="1" x14ac:dyDescent="0.2">
      <c r="D27" s="445"/>
      <c r="E27" s="442"/>
      <c r="F27" s="445"/>
      <c r="G27" s="442"/>
    </row>
    <row r="28" spans="4:7" s="74" customFormat="1" x14ac:dyDescent="0.2">
      <c r="D28" s="445"/>
      <c r="E28" s="442"/>
      <c r="F28" s="445"/>
      <c r="G28" s="442"/>
    </row>
    <row r="29" spans="4:7" s="74" customFormat="1" x14ac:dyDescent="0.2">
      <c r="D29" s="445"/>
      <c r="E29" s="442"/>
      <c r="F29" s="445"/>
      <c r="G29" s="442"/>
    </row>
  </sheetData>
  <sheetProtection algorithmName="SHA-512" hashValue="Z3+EzXggnRUGPYSnd3Qf9NPFtln5a1tCV8/0mqdcqVt0q55KeC2dgksUlG1LIciBuSEInBH5bbIpu6n34XBOHQ==" saltValue="ZEjelWgbPmHtOpdXqZTwyA==" spinCount="100000" sheet="1" scenarios="1"/>
  <mergeCells count="1">
    <mergeCell ref="A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theme="0" tint="-0.14999847407452621"/>
  </sheetPr>
  <dimension ref="A1:G12"/>
  <sheetViews>
    <sheetView zoomScale="85" zoomScaleNormal="85" workbookViewId="0">
      <pane xSplit="3" ySplit="13" topLeftCell="D14" activePane="bottomRight" state="frozen"/>
      <selection activeCell="E49" sqref="E49"/>
      <selection pane="topRight" activeCell="E49" sqref="E49"/>
      <selection pane="bottomLeft" activeCell="E49" sqref="E49"/>
      <selection pane="bottomRight" activeCell="D14" sqref="D14"/>
    </sheetView>
  </sheetViews>
  <sheetFormatPr defaultColWidth="0" defaultRowHeight="12.75" x14ac:dyDescent="0.2"/>
  <cols>
    <col min="1" max="1" width="10.85546875" style="75" bestFit="1" customWidth="1"/>
    <col min="2" max="3" width="13.28515625" style="75" customWidth="1"/>
    <col min="4" max="4" width="47.85546875" style="446" customWidth="1"/>
    <col min="5" max="5" width="52.85546875" style="444" customWidth="1"/>
    <col min="6" max="6" width="44.140625" style="446" customWidth="1"/>
    <col min="7" max="7" width="52.85546875" style="444" customWidth="1"/>
    <col min="8" max="16384" width="9.140625" style="75" hidden="1"/>
  </cols>
  <sheetData>
    <row r="1" spans="1:7" s="677" customFormat="1" ht="15.75" x14ac:dyDescent="0.2">
      <c r="A1" s="938" t="s">
        <v>473</v>
      </c>
      <c r="B1" s="939"/>
      <c r="C1" s="940"/>
      <c r="D1" s="675" t="s">
        <v>820</v>
      </c>
      <c r="E1" s="676" t="s">
        <v>820</v>
      </c>
      <c r="F1" s="675" t="s">
        <v>820</v>
      </c>
      <c r="G1" s="676" t="s">
        <v>820</v>
      </c>
    </row>
    <row r="2" spans="1:7" s="677" customFormat="1" ht="51" x14ac:dyDescent="0.2">
      <c r="A2" s="678" t="s">
        <v>508</v>
      </c>
      <c r="B2" s="679" t="s">
        <v>821</v>
      </c>
      <c r="C2" s="679" t="s">
        <v>509</v>
      </c>
      <c r="D2" s="679" t="s">
        <v>822</v>
      </c>
      <c r="E2" s="680" t="s">
        <v>823</v>
      </c>
      <c r="F2" s="679" t="s">
        <v>824</v>
      </c>
      <c r="G2" s="680" t="s">
        <v>825</v>
      </c>
    </row>
    <row r="3" spans="1:7" s="677" customFormat="1" x14ac:dyDescent="0.2">
      <c r="A3" s="681">
        <v>1</v>
      </c>
      <c r="C3" s="682"/>
      <c r="D3" s="683"/>
      <c r="E3" s="684"/>
      <c r="F3" s="683"/>
      <c r="G3" s="684"/>
    </row>
    <row r="4" spans="1:7" s="689" customFormat="1" x14ac:dyDescent="0.2">
      <c r="A4" s="685">
        <f>1+A3</f>
        <v>2</v>
      </c>
      <c r="B4" s="686"/>
      <c r="C4" s="686"/>
      <c r="D4" s="687"/>
      <c r="E4" s="688"/>
      <c r="F4" s="687"/>
      <c r="G4" s="688"/>
    </row>
    <row r="5" spans="1:7" s="689" customFormat="1" x14ac:dyDescent="0.2">
      <c r="A5" s="685">
        <f t="shared" ref="A5:A12" si="0">1+A4</f>
        <v>3</v>
      </c>
      <c r="B5" s="686"/>
      <c r="C5" s="686"/>
      <c r="D5" s="687"/>
      <c r="E5" s="688"/>
      <c r="F5" s="687"/>
      <c r="G5" s="688"/>
    </row>
    <row r="6" spans="1:7" s="689" customFormat="1" x14ac:dyDescent="0.2">
      <c r="A6" s="685">
        <f t="shared" si="0"/>
        <v>4</v>
      </c>
      <c r="B6" s="686"/>
      <c r="C6" s="686"/>
      <c r="D6" s="687"/>
      <c r="E6" s="688"/>
      <c r="F6" s="687"/>
      <c r="G6" s="688"/>
    </row>
    <row r="7" spans="1:7" s="689" customFormat="1" x14ac:dyDescent="0.2">
      <c r="A7" s="685">
        <f t="shared" si="0"/>
        <v>5</v>
      </c>
      <c r="B7" s="686"/>
      <c r="C7" s="686"/>
      <c r="D7" s="687"/>
      <c r="E7" s="688"/>
      <c r="F7" s="687"/>
      <c r="G7" s="688"/>
    </row>
    <row r="8" spans="1:7" s="689" customFormat="1" x14ac:dyDescent="0.2">
      <c r="A8" s="685">
        <f t="shared" si="0"/>
        <v>6</v>
      </c>
      <c r="B8" s="686"/>
      <c r="C8" s="686"/>
      <c r="D8" s="687"/>
      <c r="E8" s="688"/>
      <c r="F8" s="687"/>
      <c r="G8" s="688"/>
    </row>
    <row r="9" spans="1:7" s="689" customFormat="1" x14ac:dyDescent="0.2">
      <c r="A9" s="685">
        <f t="shared" si="0"/>
        <v>7</v>
      </c>
      <c r="B9" s="686"/>
      <c r="C9" s="686"/>
      <c r="D9" s="687"/>
      <c r="E9" s="688"/>
      <c r="F9" s="687"/>
      <c r="G9" s="688"/>
    </row>
    <row r="10" spans="1:7" s="689" customFormat="1" x14ac:dyDescent="0.2">
      <c r="A10" s="685">
        <f t="shared" si="0"/>
        <v>8</v>
      </c>
      <c r="B10" s="686"/>
      <c r="C10" s="686"/>
      <c r="D10" s="687"/>
      <c r="E10" s="688"/>
      <c r="F10" s="687"/>
      <c r="G10" s="688"/>
    </row>
    <row r="11" spans="1:7" s="689" customFormat="1" x14ac:dyDescent="0.2">
      <c r="A11" s="685">
        <f t="shared" si="0"/>
        <v>9</v>
      </c>
      <c r="B11" s="686"/>
      <c r="C11" s="686"/>
      <c r="D11" s="687"/>
      <c r="E11" s="688"/>
      <c r="F11" s="687"/>
      <c r="G11" s="688"/>
    </row>
    <row r="12" spans="1:7" s="689" customFormat="1" x14ac:dyDescent="0.2">
      <c r="A12" s="685">
        <f t="shared" si="0"/>
        <v>10</v>
      </c>
      <c r="B12" s="686"/>
      <c r="C12" s="686"/>
      <c r="D12" s="687"/>
      <c r="E12" s="688"/>
      <c r="F12" s="687"/>
      <c r="G12" s="688"/>
    </row>
  </sheetData>
  <sheetProtection algorithmName="SHA-512" hashValue="470C3mwM9thZfc/+1ih/mF4iW95DZ3n6JHdu9zXBMf4LNBhaM/2MVqIYwf3/N34ULsq/ZszqhEl/lpad6aRBpg==" saltValue="dlUqaFtkAp9tCAze91Xihg==" spinCount="100000" sheet="1" scenarios="1"/>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tabColor theme="0" tint="-0.14999847407452621"/>
  </sheetPr>
  <dimension ref="A1"/>
  <sheetViews>
    <sheetView workbookViewId="0"/>
  </sheetViews>
  <sheetFormatPr defaultColWidth="9.140625" defaultRowHeight="12.75" x14ac:dyDescent="0.2"/>
  <cols>
    <col min="1" max="16384" width="9.140625" style="129"/>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00B050"/>
    <pageSetUpPr fitToPage="1"/>
  </sheetPr>
  <dimension ref="A1:S174"/>
  <sheetViews>
    <sheetView showGridLines="0" zoomScaleNormal="100" workbookViewId="0">
      <selection activeCell="B19" sqref="B19:O19"/>
    </sheetView>
  </sheetViews>
  <sheetFormatPr defaultColWidth="0" defaultRowHeight="15" customHeight="1" x14ac:dyDescent="0.2"/>
  <cols>
    <col min="1" max="2" width="2.85546875" style="279" customWidth="1"/>
    <col min="3" max="3" width="9.140625" style="279" customWidth="1"/>
    <col min="4" max="4" width="8.140625" style="279" customWidth="1"/>
    <col min="5" max="5" width="7.5703125" style="279" customWidth="1"/>
    <col min="6" max="6" width="7.140625" style="279" customWidth="1"/>
    <col min="7" max="7" width="5" style="279" customWidth="1"/>
    <col min="8" max="8" width="7.5703125" style="279" customWidth="1"/>
    <col min="9" max="9" width="10.140625" style="279" customWidth="1"/>
    <col min="10" max="10" width="8" style="279" customWidth="1"/>
    <col min="11" max="11" width="9.140625" style="279" customWidth="1"/>
    <col min="12" max="12" width="12.28515625" style="279" customWidth="1"/>
    <col min="13" max="13" width="6" style="279" customWidth="1"/>
    <col min="14" max="14" width="5.85546875" style="279" customWidth="1"/>
    <col min="15" max="15" width="8.28515625" style="279" customWidth="1"/>
    <col min="16" max="16" width="1.7109375" style="279" customWidth="1"/>
    <col min="17" max="18" width="9" style="279" hidden="1" customWidth="1"/>
    <col min="19" max="19" width="15.85546875" style="279" hidden="1" customWidth="1"/>
    <col min="20" max="16384" width="9.140625" style="279" hidden="1"/>
  </cols>
  <sheetData>
    <row r="1" spans="2:15" ht="14.25" x14ac:dyDescent="0.2"/>
    <row r="2" spans="2:15" ht="7.5" customHeight="1" x14ac:dyDescent="0.2">
      <c r="B2" s="280"/>
      <c r="C2" s="280"/>
      <c r="D2" s="280"/>
      <c r="E2" s="280"/>
      <c r="F2" s="280"/>
      <c r="G2" s="280"/>
      <c r="H2" s="280"/>
      <c r="I2" s="280"/>
      <c r="J2" s="280"/>
      <c r="K2" s="280"/>
      <c r="L2" s="280"/>
      <c r="M2" s="280"/>
      <c r="N2" s="280"/>
      <c r="O2" s="280"/>
    </row>
    <row r="3" spans="2:15" ht="14.25" x14ac:dyDescent="0.2">
      <c r="B3" s="281"/>
      <c r="C3" s="282" t="s">
        <v>726</v>
      </c>
      <c r="D3" s="283"/>
      <c r="E3" s="281"/>
      <c r="F3" s="281"/>
      <c r="G3" s="281"/>
      <c r="H3" s="281"/>
      <c r="I3" s="284"/>
      <c r="J3" s="283"/>
      <c r="K3" s="285"/>
      <c r="L3" s="286"/>
      <c r="M3" s="287" t="s">
        <v>755</v>
      </c>
      <c r="N3" s="283"/>
      <c r="O3" s="288"/>
    </row>
    <row r="4" spans="2:15" ht="14.25" x14ac:dyDescent="0.2">
      <c r="B4" s="281"/>
      <c r="C4" s="984"/>
      <c r="D4" s="985"/>
      <c r="E4" s="281"/>
      <c r="F4" s="281"/>
      <c r="G4" s="281"/>
      <c r="H4" s="281"/>
      <c r="I4" s="986"/>
      <c r="J4" s="986"/>
      <c r="K4" s="289"/>
      <c r="L4" s="281"/>
      <c r="M4" s="987"/>
      <c r="N4" s="988"/>
      <c r="O4" s="290"/>
    </row>
    <row r="5" spans="2:15" ht="7.5" customHeight="1" x14ac:dyDescent="0.2">
      <c r="B5" s="281"/>
      <c r="C5" s="291"/>
      <c r="D5" s="291"/>
      <c r="E5" s="281"/>
      <c r="F5" s="281"/>
      <c r="G5" s="292"/>
      <c r="H5" s="292"/>
      <c r="I5" s="291"/>
      <c r="J5" s="289"/>
      <c r="K5" s="289"/>
      <c r="L5" s="281"/>
      <c r="M5" s="288"/>
      <c r="N5" s="288"/>
      <c r="O5" s="290"/>
    </row>
    <row r="6" spans="2:15" ht="7.5" customHeight="1" x14ac:dyDescent="0.2">
      <c r="B6" s="293"/>
      <c r="C6" s="294"/>
      <c r="D6" s="294"/>
      <c r="E6" s="293"/>
      <c r="F6" s="293"/>
      <c r="G6" s="295"/>
      <c r="H6" s="295"/>
      <c r="I6" s="296"/>
      <c r="J6" s="297"/>
      <c r="K6" s="297"/>
      <c r="L6" s="293"/>
      <c r="M6" s="298"/>
      <c r="N6" s="298"/>
      <c r="O6" s="299"/>
    </row>
    <row r="7" spans="2:15" ht="22.5" customHeight="1" x14ac:dyDescent="0.2">
      <c r="B7" s="989" t="s">
        <v>727</v>
      </c>
      <c r="C7" s="989"/>
      <c r="D7" s="989"/>
      <c r="E7" s="989"/>
      <c r="F7" s="989"/>
      <c r="G7" s="989"/>
      <c r="H7" s="989"/>
      <c r="I7" s="989"/>
      <c r="J7" s="989"/>
      <c r="K7" s="989"/>
      <c r="L7" s="989"/>
      <c r="M7" s="989"/>
      <c r="N7" s="989"/>
      <c r="O7" s="989"/>
    </row>
    <row r="8" spans="2:15" ht="11.25" customHeight="1" x14ac:dyDescent="0.25">
      <c r="B8" s="300"/>
      <c r="C8" s="300"/>
      <c r="D8" s="300"/>
      <c r="E8" s="300"/>
      <c r="F8" s="300"/>
      <c r="G8" s="300"/>
      <c r="H8" s="300"/>
      <c r="I8" s="300"/>
      <c r="J8" s="300"/>
      <c r="K8" s="300"/>
      <c r="L8" s="300"/>
      <c r="M8" s="300"/>
      <c r="N8" s="300"/>
      <c r="O8" s="300"/>
    </row>
    <row r="9" spans="2:15" ht="15" customHeight="1" x14ac:dyDescent="0.25">
      <c r="C9" s="301" t="s">
        <v>618</v>
      </c>
      <c r="D9" s="302"/>
      <c r="E9" s="302"/>
      <c r="F9" s="303"/>
      <c r="G9" s="304"/>
      <c r="O9" s="303"/>
    </row>
    <row r="10" spans="2:15" ht="22.5" customHeight="1" x14ac:dyDescent="0.2">
      <c r="C10" s="979">
        <f>'1.0 Pre-Screen'!E8</f>
        <v>0</v>
      </c>
      <c r="D10" s="980"/>
      <c r="E10" s="980"/>
      <c r="F10" s="980"/>
      <c r="G10" s="980"/>
      <c r="H10" s="980"/>
      <c r="I10" s="980"/>
      <c r="J10" s="980"/>
      <c r="K10" s="980"/>
      <c r="L10" s="981"/>
      <c r="M10" s="305"/>
      <c r="N10" s="305"/>
      <c r="O10" s="305"/>
    </row>
    <row r="11" spans="2:15" ht="7.5" customHeight="1" x14ac:dyDescent="0.25">
      <c r="B11" s="302"/>
      <c r="C11" s="302"/>
      <c r="D11" s="302"/>
      <c r="E11" s="302"/>
      <c r="F11" s="303"/>
      <c r="G11" s="304"/>
      <c r="H11" s="306"/>
      <c r="I11" s="306"/>
      <c r="J11" s="306"/>
      <c r="K11" s="306"/>
      <c r="L11" s="306"/>
      <c r="M11" s="306"/>
      <c r="N11" s="306"/>
      <c r="O11" s="303"/>
    </row>
    <row r="12" spans="2:15" ht="15" customHeight="1" x14ac:dyDescent="0.2">
      <c r="C12" s="301" t="s">
        <v>728</v>
      </c>
      <c r="E12" s="304"/>
      <c r="F12" s="304"/>
      <c r="G12" s="303"/>
      <c r="K12" s="301" t="s">
        <v>729</v>
      </c>
      <c r="M12" s="303"/>
      <c r="N12" s="307"/>
    </row>
    <row r="13" spans="2:15" ht="22.5" customHeight="1" x14ac:dyDescent="0.2">
      <c r="C13" s="979">
        <f>'1.0 Pre-Screen'!E20</f>
        <v>0</v>
      </c>
      <c r="D13" s="980"/>
      <c r="E13" s="980"/>
      <c r="F13" s="980"/>
      <c r="G13" s="980"/>
      <c r="H13" s="981"/>
      <c r="K13" s="982"/>
      <c r="L13" s="983"/>
      <c r="M13" s="308"/>
      <c r="N13" s="308"/>
    </row>
    <row r="14" spans="2:15" ht="7.5" customHeight="1" x14ac:dyDescent="0.2">
      <c r="B14" s="309"/>
      <c r="C14" s="309"/>
      <c r="D14" s="304"/>
      <c r="E14" s="304"/>
      <c r="F14" s="303"/>
      <c r="G14" s="293"/>
      <c r="H14" s="310"/>
      <c r="L14" s="311"/>
      <c r="M14" s="303"/>
      <c r="N14" s="307"/>
      <c r="O14" s="307"/>
    </row>
    <row r="15" spans="2:15" ht="15" customHeight="1" x14ac:dyDescent="0.2">
      <c r="C15" s="301" t="s">
        <v>730</v>
      </c>
      <c r="D15" s="304"/>
      <c r="E15" s="304"/>
      <c r="G15" s="301" t="s">
        <v>753</v>
      </c>
      <c r="K15" s="301" t="s">
        <v>752</v>
      </c>
      <c r="M15" s="307"/>
      <c r="N15" s="307"/>
    </row>
    <row r="16" spans="2:15" ht="22.5" customHeight="1" x14ac:dyDescent="0.2">
      <c r="C16" s="962">
        <f>'4.0 Report Summary'!G29</f>
        <v>0</v>
      </c>
      <c r="D16" s="963"/>
      <c r="E16" s="304"/>
      <c r="G16" s="952">
        <f>'3.0 Study Results'!S58</f>
        <v>0</v>
      </c>
      <c r="H16" s="953"/>
      <c r="I16" s="953"/>
      <c r="K16" s="964" t="str">
        <f>IFERROR('3.0 Study Results'!S43,"")</f>
        <v/>
      </c>
      <c r="L16" s="965"/>
      <c r="M16" s="397" t="s">
        <v>762</v>
      </c>
    </row>
    <row r="17" spans="2:19" ht="15" customHeight="1" x14ac:dyDescent="0.2">
      <c r="B17" s="312"/>
      <c r="E17" s="295"/>
      <c r="F17" s="295"/>
      <c r="G17" s="295"/>
      <c r="H17" s="295"/>
      <c r="I17" s="295"/>
      <c r="J17" s="295"/>
      <c r="K17" s="303"/>
      <c r="L17" s="303"/>
      <c r="M17" s="295"/>
      <c r="N17" s="295"/>
      <c r="O17" s="313"/>
    </row>
    <row r="18" spans="2:19" ht="22.5" customHeight="1" x14ac:dyDescent="0.2">
      <c r="B18" s="966" t="s">
        <v>754</v>
      </c>
      <c r="C18" s="966"/>
      <c r="D18" s="966"/>
      <c r="E18" s="966"/>
      <c r="F18" s="966"/>
      <c r="G18" s="966"/>
      <c r="H18" s="966"/>
      <c r="I18" s="966"/>
      <c r="J18" s="966"/>
      <c r="K18" s="966"/>
      <c r="L18" s="966"/>
      <c r="M18" s="966"/>
      <c r="N18" s="966"/>
      <c r="O18" s="966"/>
    </row>
    <row r="19" spans="2:19" ht="22.5" customHeight="1" x14ac:dyDescent="0.2">
      <c r="B19" s="967" t="s">
        <v>760</v>
      </c>
      <c r="C19" s="968"/>
      <c r="D19" s="968"/>
      <c r="E19" s="968"/>
      <c r="F19" s="968"/>
      <c r="G19" s="968"/>
      <c r="H19" s="968"/>
      <c r="I19" s="968"/>
      <c r="J19" s="968"/>
      <c r="K19" s="968"/>
      <c r="L19" s="968"/>
      <c r="M19" s="968"/>
      <c r="N19" s="968"/>
      <c r="O19" s="968"/>
    </row>
    <row r="20" spans="2:19" ht="33.75" customHeight="1" x14ac:dyDescent="0.2">
      <c r="B20" s="314" t="s">
        <v>314</v>
      </c>
      <c r="C20" s="970" t="s">
        <v>759</v>
      </c>
      <c r="D20" s="972"/>
      <c r="E20" s="972"/>
      <c r="F20" s="972"/>
      <c r="G20" s="972"/>
      <c r="H20" s="972"/>
      <c r="I20" s="972"/>
      <c r="J20" s="971"/>
      <c r="K20" s="970" t="s">
        <v>761</v>
      </c>
      <c r="L20" s="971"/>
      <c r="M20" s="969" t="s">
        <v>731</v>
      </c>
      <c r="N20" s="969"/>
      <c r="O20" s="315" t="s">
        <v>732</v>
      </c>
    </row>
    <row r="21" spans="2:19" ht="22.5" customHeight="1" x14ac:dyDescent="0.2">
      <c r="B21" s="316">
        <f t="shared" ref="B21:B25" si="0">ROW(B21)-ROW($B$20)</f>
        <v>1</v>
      </c>
      <c r="C21" s="959" t="str">
        <f>IF('4.0 Report Summary'!B23=0,"",'4.0 Report Summary'!B23)</f>
        <v xml:space="preserve">EM-1 </v>
      </c>
      <c r="D21" s="960"/>
      <c r="E21" s="960"/>
      <c r="F21" s="960"/>
      <c r="G21" s="960"/>
      <c r="H21" s="960"/>
      <c r="I21" s="960"/>
      <c r="J21" s="961"/>
      <c r="K21" s="950" t="str">
        <f>IFERROR('4.0 Report Summary'!E23,"")</f>
        <v/>
      </c>
      <c r="L21" s="951"/>
      <c r="M21" s="317"/>
      <c r="N21" s="317"/>
      <c r="O21" s="318"/>
      <c r="S21" s="319"/>
    </row>
    <row r="22" spans="2:19" ht="22.5" customHeight="1" x14ac:dyDescent="0.2">
      <c r="B22" s="316">
        <f t="shared" si="0"/>
        <v>2</v>
      </c>
      <c r="C22" s="959" t="str">
        <f>IF('4.0 Report Summary'!B24=0,"",'4.0 Report Summary'!B24)</f>
        <v xml:space="preserve">EM-2 </v>
      </c>
      <c r="D22" s="960"/>
      <c r="E22" s="960"/>
      <c r="F22" s="960"/>
      <c r="G22" s="960"/>
      <c r="H22" s="960"/>
      <c r="I22" s="960"/>
      <c r="J22" s="961"/>
      <c r="K22" s="950" t="str">
        <f>IFERROR('4.0 Report Summary'!E24,"")</f>
        <v/>
      </c>
      <c r="L22" s="951"/>
      <c r="M22" s="317"/>
      <c r="N22" s="317"/>
      <c r="O22" s="318"/>
      <c r="S22" s="319"/>
    </row>
    <row r="23" spans="2:19" ht="22.5" customHeight="1" x14ac:dyDescent="0.2">
      <c r="B23" s="316">
        <f t="shared" si="0"/>
        <v>3</v>
      </c>
      <c r="C23" s="959" t="str">
        <f>IF('4.0 Report Summary'!B25=0,"",'4.0 Report Summary'!B25)</f>
        <v xml:space="preserve">EM-3 </v>
      </c>
      <c r="D23" s="960"/>
      <c r="E23" s="960"/>
      <c r="F23" s="960"/>
      <c r="G23" s="960"/>
      <c r="H23" s="960"/>
      <c r="I23" s="960"/>
      <c r="J23" s="961"/>
      <c r="K23" s="950" t="str">
        <f>IFERROR('4.0 Report Summary'!E25,"")</f>
        <v/>
      </c>
      <c r="L23" s="951"/>
      <c r="M23" s="317"/>
      <c r="N23" s="317"/>
      <c r="O23" s="318"/>
      <c r="S23" s="319"/>
    </row>
    <row r="24" spans="2:19" ht="22.5" customHeight="1" x14ac:dyDescent="0.2">
      <c r="B24" s="316">
        <f t="shared" si="0"/>
        <v>4</v>
      </c>
      <c r="C24" s="959" t="str">
        <f>IF('4.0 Report Summary'!B26=0,"",'4.0 Report Summary'!B26)</f>
        <v xml:space="preserve">EM-4 </v>
      </c>
      <c r="D24" s="960"/>
      <c r="E24" s="960"/>
      <c r="F24" s="960"/>
      <c r="G24" s="960"/>
      <c r="H24" s="960"/>
      <c r="I24" s="960"/>
      <c r="J24" s="961"/>
      <c r="K24" s="950" t="str">
        <f>IFERROR('4.0 Report Summary'!E26,"")</f>
        <v/>
      </c>
      <c r="L24" s="951"/>
      <c r="M24" s="317"/>
      <c r="N24" s="317"/>
      <c r="O24" s="318"/>
      <c r="S24" s="319"/>
    </row>
    <row r="25" spans="2:19" ht="22.5" customHeight="1" x14ac:dyDescent="0.2">
      <c r="B25" s="316">
        <f t="shared" si="0"/>
        <v>5</v>
      </c>
      <c r="C25" s="959" t="str">
        <f>IF('4.0 Report Summary'!B27=0,"",'4.0 Report Summary'!B27)</f>
        <v xml:space="preserve">EM-5 </v>
      </c>
      <c r="D25" s="960"/>
      <c r="E25" s="960"/>
      <c r="F25" s="960"/>
      <c r="G25" s="960"/>
      <c r="H25" s="960"/>
      <c r="I25" s="960"/>
      <c r="J25" s="961"/>
      <c r="K25" s="950" t="str">
        <f>IFERROR('4.0 Report Summary'!E27,"")</f>
        <v/>
      </c>
      <c r="L25" s="951"/>
      <c r="M25" s="317"/>
      <c r="N25" s="317"/>
      <c r="O25" s="318"/>
      <c r="S25" s="319"/>
    </row>
    <row r="26" spans="2:19" ht="7.5" customHeight="1" x14ac:dyDescent="0.2">
      <c r="B26" s="320"/>
      <c r="C26" s="321"/>
      <c r="D26" s="321"/>
      <c r="E26" s="321"/>
      <c r="F26" s="322"/>
      <c r="G26" s="323"/>
      <c r="H26" s="323"/>
      <c r="I26" s="323"/>
      <c r="J26" s="323"/>
      <c r="K26" s="323"/>
      <c r="L26" s="324"/>
      <c r="M26" s="325"/>
      <c r="N26" s="325"/>
      <c r="O26" s="326"/>
    </row>
    <row r="27" spans="2:19" ht="7.5" customHeight="1" x14ac:dyDescent="0.2">
      <c r="B27" s="320"/>
      <c r="C27" s="321"/>
      <c r="D27" s="321"/>
      <c r="E27" s="321"/>
      <c r="F27" s="322"/>
      <c r="G27" s="323"/>
      <c r="H27" s="323"/>
      <c r="I27" s="323"/>
      <c r="J27" s="323"/>
      <c r="K27" s="323"/>
      <c r="L27" s="324"/>
      <c r="M27" s="325"/>
      <c r="N27" s="325"/>
      <c r="O27" s="326"/>
    </row>
    <row r="28" spans="2:19" ht="22.5" customHeight="1" x14ac:dyDescent="0.2">
      <c r="B28" s="327"/>
      <c r="C28" s="328"/>
      <c r="D28" s="328"/>
      <c r="E28" s="328"/>
      <c r="F28" s="328"/>
      <c r="G28" s="328"/>
      <c r="H28" s="328"/>
      <c r="I28" s="329"/>
      <c r="J28" s="330"/>
      <c r="K28" s="330"/>
      <c r="L28" s="324"/>
      <c r="M28" s="331"/>
      <c r="N28" s="331"/>
      <c r="O28" s="332"/>
    </row>
    <row r="29" spans="2:19" ht="22.5" customHeight="1" x14ac:dyDescent="0.2">
      <c r="B29" s="333"/>
      <c r="C29" s="978" t="s">
        <v>733</v>
      </c>
      <c r="D29" s="978"/>
      <c r="E29" s="978"/>
      <c r="F29" s="978"/>
      <c r="G29" s="978"/>
      <c r="H29" s="978"/>
      <c r="I29" s="978"/>
      <c r="J29" s="978"/>
      <c r="K29" s="978"/>
      <c r="L29" s="978"/>
      <c r="M29" s="978"/>
      <c r="N29" s="978"/>
      <c r="O29" s="978"/>
    </row>
    <row r="30" spans="2:19" ht="15" customHeight="1" x14ac:dyDescent="0.2">
      <c r="B30" s="334"/>
      <c r="C30" s="334"/>
      <c r="D30" s="334"/>
      <c r="E30" s="334"/>
      <c r="F30" s="334"/>
      <c r="G30" s="334"/>
      <c r="H30" s="334"/>
      <c r="I30" s="334"/>
      <c r="J30" s="334"/>
      <c r="K30" s="334"/>
      <c r="L30" s="334"/>
      <c r="M30" s="334"/>
      <c r="N30" s="334"/>
      <c r="O30" s="334"/>
    </row>
    <row r="31" spans="2:19" ht="22.5" customHeight="1" x14ac:dyDescent="0.2">
      <c r="B31" s="966" t="s">
        <v>734</v>
      </c>
      <c r="C31" s="966"/>
      <c r="D31" s="966"/>
      <c r="E31" s="966"/>
      <c r="F31" s="966"/>
      <c r="G31" s="966"/>
      <c r="H31" s="966"/>
      <c r="I31" s="966"/>
      <c r="J31" s="966"/>
      <c r="K31" s="966"/>
      <c r="L31" s="966"/>
      <c r="M31" s="966"/>
      <c r="N31" s="966"/>
      <c r="O31" s="966"/>
    </row>
    <row r="32" spans="2:19" ht="15" customHeight="1" x14ac:dyDescent="0.2">
      <c r="B32" s="335" t="s">
        <v>757</v>
      </c>
      <c r="C32" s="335"/>
      <c r="D32" s="335"/>
      <c r="E32" s="335"/>
      <c r="F32" s="335"/>
      <c r="G32" s="335"/>
      <c r="H32" s="336"/>
      <c r="I32" s="336"/>
      <c r="J32" s="336"/>
      <c r="K32" s="337"/>
      <c r="L32" s="337"/>
      <c r="M32" s="337"/>
      <c r="N32" s="337"/>
      <c r="O32" s="337"/>
    </row>
    <row r="33" spans="1:19" ht="30.75" customHeight="1" x14ac:dyDescent="0.2">
      <c r="B33" s="335"/>
      <c r="C33" s="973" t="s">
        <v>756</v>
      </c>
      <c r="D33" s="974"/>
      <c r="E33" s="974"/>
      <c r="F33" s="974"/>
      <c r="G33" s="974"/>
      <c r="H33" s="974"/>
      <c r="I33" s="974"/>
      <c r="J33" s="974"/>
      <c r="K33" s="974"/>
      <c r="L33" s="974"/>
      <c r="M33" s="974"/>
      <c r="N33" s="974"/>
      <c r="O33" s="974"/>
    </row>
    <row r="34" spans="1:19" ht="15.75" customHeight="1" x14ac:dyDescent="0.2">
      <c r="B34" s="338"/>
      <c r="C34" s="339"/>
      <c r="D34" s="339"/>
      <c r="E34" s="339"/>
      <c r="F34" s="339"/>
      <c r="G34" s="339"/>
      <c r="H34" s="339"/>
      <c r="I34" s="339"/>
      <c r="J34" s="339"/>
      <c r="K34" s="339"/>
      <c r="L34" s="339"/>
      <c r="M34" s="339"/>
      <c r="N34" s="339"/>
      <c r="O34" s="339"/>
    </row>
    <row r="35" spans="1:19" s="343" customFormat="1" ht="14.25" x14ac:dyDescent="0.2">
      <c r="A35" s="279"/>
      <c r="B35" s="340"/>
      <c r="C35" s="341"/>
      <c r="D35" s="341"/>
      <c r="E35" s="341"/>
      <c r="F35" s="341"/>
      <c r="G35" s="340"/>
      <c r="H35" s="341"/>
      <c r="I35" s="341"/>
      <c r="J35" s="341"/>
      <c r="K35" s="341"/>
      <c r="L35" s="341"/>
      <c r="M35" s="341"/>
      <c r="N35" s="341"/>
      <c r="O35" s="342"/>
    </row>
    <row r="36" spans="1:19" s="343" customFormat="1" ht="14.25" x14ac:dyDescent="0.2">
      <c r="A36" s="279"/>
      <c r="B36" s="344"/>
      <c r="C36" s="345"/>
      <c r="D36" s="345"/>
      <c r="E36" s="345"/>
      <c r="F36" s="345"/>
      <c r="G36" s="345"/>
      <c r="H36" s="345"/>
      <c r="I36" s="345"/>
      <c r="J36" s="345"/>
      <c r="K36" s="345"/>
      <c r="L36" s="345"/>
      <c r="M36" s="345"/>
      <c r="N36" s="345"/>
      <c r="O36" s="346"/>
      <c r="S36" s="347"/>
    </row>
    <row r="37" spans="1:19" s="343" customFormat="1" ht="14.25" x14ac:dyDescent="0.2">
      <c r="A37" s="279"/>
      <c r="B37" s="344"/>
      <c r="C37" s="345"/>
      <c r="D37" s="345"/>
      <c r="E37" s="345"/>
      <c r="F37" s="345"/>
      <c r="G37" s="345"/>
      <c r="H37" s="345"/>
      <c r="I37" s="345"/>
      <c r="J37" s="345"/>
      <c r="K37" s="345"/>
      <c r="L37" s="345"/>
      <c r="M37" s="345"/>
      <c r="N37" s="345"/>
      <c r="O37" s="346"/>
      <c r="S37" s="347"/>
    </row>
    <row r="38" spans="1:19" s="343" customFormat="1" ht="14.25" x14ac:dyDescent="0.2">
      <c r="A38" s="279"/>
      <c r="B38" s="344"/>
      <c r="C38" s="348"/>
      <c r="D38" s="349"/>
      <c r="E38" s="349"/>
      <c r="F38" s="349"/>
      <c r="G38" s="349"/>
      <c r="H38" s="349"/>
      <c r="I38" s="349"/>
      <c r="J38" s="349"/>
      <c r="K38" s="349"/>
      <c r="L38" s="349"/>
      <c r="M38" s="349"/>
      <c r="N38" s="349"/>
      <c r="O38" s="350"/>
      <c r="S38" s="347"/>
    </row>
    <row r="39" spans="1:19" s="343" customFormat="1" ht="14.25" x14ac:dyDescent="0.2">
      <c r="A39" s="279"/>
      <c r="B39" s="351"/>
      <c r="C39" s="351"/>
      <c r="D39" s="351"/>
      <c r="E39" s="351"/>
      <c r="F39" s="351"/>
      <c r="G39" s="351"/>
      <c r="H39" s="351"/>
      <c r="I39" s="351"/>
      <c r="J39" s="351"/>
      <c r="K39" s="351"/>
      <c r="L39" s="351"/>
      <c r="M39" s="351"/>
      <c r="N39" s="351"/>
      <c r="O39" s="351"/>
      <c r="S39" s="347"/>
    </row>
    <row r="40" spans="1:19" s="343" customFormat="1" ht="15" customHeight="1" x14ac:dyDescent="0.2">
      <c r="B40" s="352"/>
      <c r="C40" s="353" t="s">
        <v>735</v>
      </c>
      <c r="D40" s="354"/>
      <c r="E40" s="355"/>
      <c r="F40" s="356"/>
      <c r="G40" s="356"/>
      <c r="H40" s="356"/>
      <c r="I40" s="356"/>
      <c r="J40" s="357"/>
      <c r="K40" s="357"/>
      <c r="L40" s="354"/>
      <c r="M40" s="354"/>
      <c r="N40" s="354"/>
      <c r="O40" s="354"/>
    </row>
    <row r="41" spans="1:19" s="343" customFormat="1" ht="22.5" customHeight="1" x14ac:dyDescent="0.2">
      <c r="B41" s="352"/>
      <c r="C41" s="975"/>
      <c r="D41" s="976"/>
      <c r="E41" s="977"/>
      <c r="F41" s="357" t="str">
        <f>IF(C41="","(yyyy-mm-dd)","")</f>
        <v>(yyyy-mm-dd)</v>
      </c>
      <c r="G41" s="358"/>
      <c r="H41" s="358"/>
      <c r="I41" s="357"/>
      <c r="J41" s="357"/>
      <c r="K41" s="357"/>
      <c r="L41" s="354"/>
      <c r="M41" s="354"/>
      <c r="N41" s="354"/>
      <c r="O41" s="354"/>
    </row>
    <row r="42" spans="1:19" s="343" customFormat="1" ht="15" customHeight="1" x14ac:dyDescent="0.2">
      <c r="B42" s="352"/>
      <c r="C42" s="359"/>
      <c r="D42" s="359"/>
      <c r="E42" s="359"/>
      <c r="F42" s="357"/>
      <c r="G42" s="358"/>
      <c r="H42" s="358"/>
      <c r="I42" s="357"/>
      <c r="J42" s="357"/>
      <c r="K42" s="357"/>
      <c r="L42" s="354"/>
      <c r="M42" s="354"/>
      <c r="N42" s="354"/>
      <c r="O42" s="354"/>
    </row>
    <row r="43" spans="1:19" s="343" customFormat="1" ht="15" customHeight="1" x14ac:dyDescent="0.2">
      <c r="B43" s="360"/>
      <c r="C43" s="353" t="s">
        <v>736</v>
      </c>
      <c r="D43" s="360"/>
      <c r="E43" s="360"/>
      <c r="F43" s="360"/>
      <c r="G43" s="356"/>
      <c r="H43" s="356"/>
      <c r="I43" s="356"/>
      <c r="J43" s="356"/>
      <c r="K43" s="356"/>
      <c r="L43" s="356"/>
      <c r="M43" s="356"/>
      <c r="N43" s="356"/>
      <c r="O43" s="356"/>
    </row>
    <row r="44" spans="1:19" s="343" customFormat="1" ht="22.5" customHeight="1" x14ac:dyDescent="0.2">
      <c r="B44" s="361"/>
      <c r="C44" s="954"/>
      <c r="D44" s="955"/>
      <c r="E44" s="955"/>
      <c r="F44" s="955"/>
      <c r="G44" s="955"/>
      <c r="H44" s="955"/>
      <c r="I44" s="955"/>
      <c r="J44" s="955"/>
      <c r="K44" s="956"/>
      <c r="L44" s="362"/>
      <c r="M44" s="362"/>
      <c r="N44" s="362"/>
      <c r="O44" s="362"/>
    </row>
    <row r="45" spans="1:19" s="343" customFormat="1" ht="22.5" customHeight="1" x14ac:dyDescent="0.2">
      <c r="B45" s="361"/>
      <c r="C45" s="363"/>
      <c r="D45" s="363"/>
      <c r="E45" s="363"/>
      <c r="F45" s="363"/>
      <c r="G45" s="363"/>
      <c r="H45" s="363"/>
      <c r="I45" s="363"/>
      <c r="J45" s="363"/>
      <c r="K45" s="363"/>
      <c r="L45" s="362"/>
      <c r="M45" s="362"/>
      <c r="N45" s="362"/>
      <c r="O45" s="362"/>
    </row>
    <row r="46" spans="1:19" s="343" customFormat="1" ht="15" customHeight="1" x14ac:dyDescent="0.2">
      <c r="B46" s="360"/>
      <c r="C46" s="353" t="s">
        <v>737</v>
      </c>
      <c r="D46" s="360"/>
      <c r="E46" s="360"/>
      <c r="F46" s="360"/>
      <c r="G46" s="356"/>
      <c r="H46" s="356"/>
      <c r="I46" s="279"/>
      <c r="J46" s="279"/>
      <c r="K46" s="353" t="s">
        <v>738</v>
      </c>
      <c r="L46" s="361"/>
      <c r="M46" s="356"/>
      <c r="N46" s="356"/>
      <c r="O46" s="356"/>
    </row>
    <row r="47" spans="1:19" s="343" customFormat="1" ht="22.5" customHeight="1" x14ac:dyDescent="0.2">
      <c r="B47" s="361"/>
      <c r="C47" s="954"/>
      <c r="D47" s="955"/>
      <c r="E47" s="955"/>
      <c r="F47" s="955"/>
      <c r="G47" s="955"/>
      <c r="H47" s="955"/>
      <c r="I47" s="956"/>
      <c r="J47" s="279"/>
      <c r="K47" s="957"/>
      <c r="L47" s="958"/>
      <c r="M47" s="958"/>
      <c r="N47" s="958"/>
      <c r="O47" s="364"/>
    </row>
    <row r="48" spans="1:19" s="343" customFormat="1" ht="15" customHeight="1" x14ac:dyDescent="0.2">
      <c r="B48" s="361"/>
      <c r="C48" s="363"/>
      <c r="D48" s="363"/>
      <c r="E48" s="363"/>
      <c r="F48" s="363"/>
      <c r="G48" s="363"/>
      <c r="H48" s="363"/>
      <c r="I48" s="363"/>
      <c r="J48" s="365"/>
      <c r="K48" s="366"/>
      <c r="L48" s="366"/>
      <c r="M48" s="366"/>
      <c r="N48" s="364"/>
      <c r="O48" s="364"/>
    </row>
    <row r="49" spans="2:15" s="343" customFormat="1" ht="15" customHeight="1" x14ac:dyDescent="0.2">
      <c r="B49" s="360"/>
      <c r="C49" s="353" t="s">
        <v>739</v>
      </c>
      <c r="D49" s="360"/>
      <c r="E49" s="360"/>
      <c r="F49" s="360"/>
      <c r="G49" s="356"/>
      <c r="H49" s="356"/>
      <c r="I49" s="279"/>
      <c r="J49" s="279"/>
      <c r="K49" s="353" t="s">
        <v>740</v>
      </c>
      <c r="L49" s="361"/>
      <c r="M49" s="356"/>
      <c r="N49" s="356"/>
      <c r="O49" s="356"/>
    </row>
    <row r="50" spans="2:15" s="343" customFormat="1" ht="22.5" customHeight="1" x14ac:dyDescent="0.2">
      <c r="B50" s="361"/>
      <c r="C50" s="954"/>
      <c r="D50" s="955"/>
      <c r="E50" s="955"/>
      <c r="F50" s="955"/>
      <c r="G50" s="955"/>
      <c r="H50" s="955"/>
      <c r="I50" s="956"/>
      <c r="J50" s="279"/>
      <c r="K50" s="957"/>
      <c r="L50" s="958"/>
      <c r="M50" s="958"/>
      <c r="N50" s="958"/>
      <c r="O50" s="364"/>
    </row>
    <row r="51" spans="2:15" s="343" customFormat="1" ht="22.5" customHeight="1" x14ac:dyDescent="0.2">
      <c r="B51" s="361"/>
      <c r="C51" s="363"/>
      <c r="D51" s="363"/>
      <c r="E51" s="363"/>
      <c r="F51" s="363"/>
      <c r="G51" s="363"/>
      <c r="H51" s="363"/>
      <c r="I51" s="363"/>
      <c r="J51" s="365"/>
      <c r="K51" s="366"/>
      <c r="L51" s="366"/>
      <c r="M51" s="366"/>
      <c r="N51" s="364"/>
      <c r="O51" s="364"/>
    </row>
    <row r="52" spans="2:15" s="343" customFormat="1" ht="15" customHeight="1" x14ac:dyDescent="0.2">
      <c r="B52" s="360"/>
      <c r="C52" s="353" t="s">
        <v>741</v>
      </c>
      <c r="D52" s="360"/>
      <c r="E52" s="360"/>
      <c r="F52" s="360"/>
      <c r="G52" s="356"/>
      <c r="H52" s="356"/>
      <c r="I52" s="279"/>
      <c r="J52" s="279"/>
      <c r="K52" s="353" t="s">
        <v>742</v>
      </c>
      <c r="L52" s="361"/>
      <c r="M52" s="356"/>
      <c r="N52" s="356"/>
      <c r="O52" s="356"/>
    </row>
    <row r="53" spans="2:15" s="343" customFormat="1" ht="22.5" customHeight="1" x14ac:dyDescent="0.2">
      <c r="B53" s="360"/>
      <c r="C53" s="954"/>
      <c r="D53" s="955"/>
      <c r="E53" s="955"/>
      <c r="F53" s="955"/>
      <c r="G53" s="955"/>
      <c r="H53" s="955"/>
      <c r="I53" s="956"/>
      <c r="J53" s="279"/>
      <c r="K53" s="957"/>
      <c r="L53" s="958"/>
      <c r="M53" s="958"/>
      <c r="N53" s="958"/>
      <c r="O53" s="364"/>
    </row>
    <row r="54" spans="2:15" s="343" customFormat="1" ht="15" customHeight="1" x14ac:dyDescent="0.2">
      <c r="B54" s="367"/>
      <c r="C54" s="367"/>
      <c r="D54" s="307"/>
      <c r="E54" s="307"/>
      <c r="F54" s="307"/>
      <c r="G54" s="307"/>
      <c r="H54" s="307"/>
      <c r="I54" s="307"/>
      <c r="J54" s="307"/>
      <c r="K54" s="297"/>
      <c r="L54" s="297"/>
      <c r="M54" s="297"/>
      <c r="N54" s="297"/>
      <c r="O54" s="297"/>
    </row>
    <row r="55" spans="2:15" s="343" customFormat="1" ht="15" customHeight="1" x14ac:dyDescent="0.2">
      <c r="B55" s="368"/>
      <c r="C55" s="368"/>
      <c r="D55" s="368"/>
      <c r="E55" s="368"/>
      <c r="F55" s="368"/>
      <c r="G55" s="368"/>
      <c r="H55" s="368"/>
      <c r="I55" s="368"/>
      <c r="J55" s="368"/>
      <c r="K55" s="368"/>
      <c r="L55" s="368"/>
      <c r="M55" s="368"/>
      <c r="N55" s="368"/>
      <c r="O55" s="368"/>
    </row>
    <row r="56" spans="2:15" ht="15" customHeight="1" x14ac:dyDescent="0.2">
      <c r="B56" s="343"/>
      <c r="C56" s="343"/>
      <c r="D56" s="343"/>
      <c r="E56" s="343"/>
      <c r="F56" s="343"/>
      <c r="G56" s="343"/>
      <c r="H56" s="343"/>
      <c r="I56" s="343"/>
      <c r="J56" s="343"/>
      <c r="K56" s="343"/>
      <c r="L56" s="343"/>
      <c r="M56" s="343"/>
      <c r="N56" s="343"/>
      <c r="O56" s="343"/>
    </row>
    <row r="165" ht="14.25" x14ac:dyDescent="0.2"/>
    <row r="166" ht="14.25" x14ac:dyDescent="0.2"/>
    <row r="167" ht="14.25" x14ac:dyDescent="0.2"/>
    <row r="168" ht="14.25" x14ac:dyDescent="0.2"/>
    <row r="169" ht="14.25" x14ac:dyDescent="0.2"/>
    <row r="170" ht="14.25" x14ac:dyDescent="0.2"/>
    <row r="171" ht="14.25" x14ac:dyDescent="0.2"/>
    <row r="172" ht="14.25" x14ac:dyDescent="0.2"/>
    <row r="173" ht="14.25" x14ac:dyDescent="0.2"/>
    <row r="174" ht="14.25" x14ac:dyDescent="0.2"/>
  </sheetData>
  <mergeCells count="36">
    <mergeCell ref="C13:H13"/>
    <mergeCell ref="K13:L13"/>
    <mergeCell ref="C4:D4"/>
    <mergeCell ref="I4:J4"/>
    <mergeCell ref="M4:N4"/>
    <mergeCell ref="B7:O7"/>
    <mergeCell ref="C10:L10"/>
    <mergeCell ref="C53:I53"/>
    <mergeCell ref="K53:N53"/>
    <mergeCell ref="K20:L20"/>
    <mergeCell ref="K21:L21"/>
    <mergeCell ref="C20:J20"/>
    <mergeCell ref="C21:J21"/>
    <mergeCell ref="C22:J22"/>
    <mergeCell ref="C23:J23"/>
    <mergeCell ref="B31:O31"/>
    <mergeCell ref="C33:O33"/>
    <mergeCell ref="C41:E41"/>
    <mergeCell ref="C44:K44"/>
    <mergeCell ref="C47:I47"/>
    <mergeCell ref="K47:N47"/>
    <mergeCell ref="C29:O29"/>
    <mergeCell ref="C24:J24"/>
    <mergeCell ref="K24:L24"/>
    <mergeCell ref="K25:L25"/>
    <mergeCell ref="G16:I16"/>
    <mergeCell ref="C50:I50"/>
    <mergeCell ref="K50:N50"/>
    <mergeCell ref="C25:J25"/>
    <mergeCell ref="K22:L22"/>
    <mergeCell ref="K23:L23"/>
    <mergeCell ref="C16:D16"/>
    <mergeCell ref="K16:L16"/>
    <mergeCell ref="B18:O18"/>
    <mergeCell ref="B19:O19"/>
    <mergeCell ref="M20:N20"/>
  </mergeCells>
  <dataValidations disablePrompts="1" count="2">
    <dataValidation type="list" operator="greaterThan" allowBlank="1" showInputMessage="1" showErrorMessage="1" sqref="B14:C14" xr:uid="{00000000-0002-0000-0C00-000000000000}">
      <formula1>"0"</formula1>
    </dataValidation>
    <dataValidation type="decimal" errorStyle="warning" allowBlank="1" showInputMessage="1" showErrorMessage="1" sqref="L26:L28" xr:uid="{00000000-0002-0000-0C00-000001000000}">
      <formula1>0</formula1>
      <formula2>9.99999999999999E+24</formula2>
    </dataValidation>
  </dataValidations>
  <pageMargins left="0.5" right="0.5" top="0.75" bottom="0.75" header="0.15" footer="0.3"/>
  <pageSetup fitToHeight="0" orientation="portrait" r:id="rId1"/>
  <headerFooter>
    <oddHeader>&amp;L&amp;"Arial,Bold"&amp;16&amp;K00B0F0Schedule B&amp;"Arial,Regular"&amp;12&amp;K01+000
&amp;14&amp;K004F6CBC Hydro incentive project summary and applicant's project implementation date declaration</oddHeader>
    <oddFooter>&amp;LSchedule B
Printed: 2018-07-24&amp;C&amp;P of &amp;N&amp;R&amp;G</oddFooter>
  </headerFooter>
  <rowBreaks count="1" manualBreakCount="1">
    <brk id="29" min="1" max="15"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12</xdr:col>
                    <xdr:colOff>0</xdr:colOff>
                    <xdr:row>20</xdr:row>
                    <xdr:rowOff>0</xdr:rowOff>
                  </from>
                  <to>
                    <xdr:col>12</xdr:col>
                    <xdr:colOff>295275</xdr:colOff>
                    <xdr:row>21</xdr:row>
                    <xdr:rowOff>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13</xdr:col>
                    <xdr:colOff>0</xdr:colOff>
                    <xdr:row>20</xdr:row>
                    <xdr:rowOff>0</xdr:rowOff>
                  </from>
                  <to>
                    <xdr:col>13</xdr:col>
                    <xdr:colOff>295275</xdr:colOff>
                    <xdr:row>21</xdr:row>
                    <xdr:rowOff>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14</xdr:col>
                    <xdr:colOff>219075</xdr:colOff>
                    <xdr:row>20</xdr:row>
                    <xdr:rowOff>0</xdr:rowOff>
                  </from>
                  <to>
                    <xdr:col>14</xdr:col>
                    <xdr:colOff>514350</xdr:colOff>
                    <xdr:row>21</xdr:row>
                    <xdr:rowOff>0</xdr:rowOff>
                  </to>
                </anchor>
              </controlPr>
            </control>
          </mc:Choice>
        </mc:AlternateContent>
        <mc:AlternateContent xmlns:mc="http://schemas.openxmlformats.org/markup-compatibility/2006">
          <mc:Choice Requires="x14">
            <control shapeId="4108" r:id="rId8" name="Check Box 12">
              <controlPr defaultSize="0" autoFill="0" autoLine="0" autoPict="0">
                <anchor moveWithCells="1">
                  <from>
                    <xdr:col>12</xdr:col>
                    <xdr:colOff>0</xdr:colOff>
                    <xdr:row>21</xdr:row>
                    <xdr:rowOff>0</xdr:rowOff>
                  </from>
                  <to>
                    <xdr:col>12</xdr:col>
                    <xdr:colOff>295275</xdr:colOff>
                    <xdr:row>22</xdr:row>
                    <xdr:rowOff>0</xdr:rowOff>
                  </to>
                </anchor>
              </controlPr>
            </control>
          </mc:Choice>
        </mc:AlternateContent>
        <mc:AlternateContent xmlns:mc="http://schemas.openxmlformats.org/markup-compatibility/2006">
          <mc:Choice Requires="x14">
            <control shapeId="4109" r:id="rId9" name="Check Box 13">
              <controlPr defaultSize="0" autoFill="0" autoLine="0" autoPict="0">
                <anchor moveWithCells="1">
                  <from>
                    <xdr:col>13</xdr:col>
                    <xdr:colOff>0</xdr:colOff>
                    <xdr:row>21</xdr:row>
                    <xdr:rowOff>0</xdr:rowOff>
                  </from>
                  <to>
                    <xdr:col>13</xdr:col>
                    <xdr:colOff>295275</xdr:colOff>
                    <xdr:row>22</xdr:row>
                    <xdr:rowOff>0</xdr:rowOff>
                  </to>
                </anchor>
              </controlPr>
            </control>
          </mc:Choice>
        </mc:AlternateContent>
        <mc:AlternateContent xmlns:mc="http://schemas.openxmlformats.org/markup-compatibility/2006">
          <mc:Choice Requires="x14">
            <control shapeId="4110" r:id="rId10" name="Check Box 14">
              <controlPr defaultSize="0" autoFill="0" autoLine="0" autoPict="0">
                <anchor moveWithCells="1">
                  <from>
                    <xdr:col>14</xdr:col>
                    <xdr:colOff>219075</xdr:colOff>
                    <xdr:row>21</xdr:row>
                    <xdr:rowOff>0</xdr:rowOff>
                  </from>
                  <to>
                    <xdr:col>14</xdr:col>
                    <xdr:colOff>514350</xdr:colOff>
                    <xdr:row>22</xdr:row>
                    <xdr:rowOff>0</xdr:rowOff>
                  </to>
                </anchor>
              </controlPr>
            </control>
          </mc:Choice>
        </mc:AlternateContent>
        <mc:AlternateContent xmlns:mc="http://schemas.openxmlformats.org/markup-compatibility/2006">
          <mc:Choice Requires="x14">
            <control shapeId="4111" r:id="rId11" name="Check Box 15">
              <controlPr defaultSize="0" autoFill="0" autoLine="0" autoPict="0">
                <anchor moveWithCells="1">
                  <from>
                    <xdr:col>12</xdr:col>
                    <xdr:colOff>0</xdr:colOff>
                    <xdr:row>22</xdr:row>
                    <xdr:rowOff>0</xdr:rowOff>
                  </from>
                  <to>
                    <xdr:col>12</xdr:col>
                    <xdr:colOff>295275</xdr:colOff>
                    <xdr:row>23</xdr:row>
                    <xdr:rowOff>0</xdr:rowOff>
                  </to>
                </anchor>
              </controlPr>
            </control>
          </mc:Choice>
        </mc:AlternateContent>
        <mc:AlternateContent xmlns:mc="http://schemas.openxmlformats.org/markup-compatibility/2006">
          <mc:Choice Requires="x14">
            <control shapeId="4112" r:id="rId12" name="Check Box 16">
              <controlPr defaultSize="0" autoFill="0" autoLine="0" autoPict="0">
                <anchor moveWithCells="1">
                  <from>
                    <xdr:col>13</xdr:col>
                    <xdr:colOff>0</xdr:colOff>
                    <xdr:row>22</xdr:row>
                    <xdr:rowOff>0</xdr:rowOff>
                  </from>
                  <to>
                    <xdr:col>13</xdr:col>
                    <xdr:colOff>295275</xdr:colOff>
                    <xdr:row>23</xdr:row>
                    <xdr:rowOff>0</xdr:rowOff>
                  </to>
                </anchor>
              </controlPr>
            </control>
          </mc:Choice>
        </mc:AlternateContent>
        <mc:AlternateContent xmlns:mc="http://schemas.openxmlformats.org/markup-compatibility/2006">
          <mc:Choice Requires="x14">
            <control shapeId="4113" r:id="rId13" name="Check Box 17">
              <controlPr defaultSize="0" autoFill="0" autoLine="0" autoPict="0">
                <anchor moveWithCells="1">
                  <from>
                    <xdr:col>14</xdr:col>
                    <xdr:colOff>219075</xdr:colOff>
                    <xdr:row>22</xdr:row>
                    <xdr:rowOff>0</xdr:rowOff>
                  </from>
                  <to>
                    <xdr:col>14</xdr:col>
                    <xdr:colOff>514350</xdr:colOff>
                    <xdr:row>23</xdr:row>
                    <xdr:rowOff>0</xdr:rowOff>
                  </to>
                </anchor>
              </controlPr>
            </control>
          </mc:Choice>
        </mc:AlternateContent>
        <mc:AlternateContent xmlns:mc="http://schemas.openxmlformats.org/markup-compatibility/2006">
          <mc:Choice Requires="x14">
            <control shapeId="4114" r:id="rId14" name="Check Box 18">
              <controlPr defaultSize="0" autoFill="0" autoLine="0" autoPict="0">
                <anchor moveWithCells="1">
                  <from>
                    <xdr:col>12</xdr:col>
                    <xdr:colOff>0</xdr:colOff>
                    <xdr:row>23</xdr:row>
                    <xdr:rowOff>0</xdr:rowOff>
                  </from>
                  <to>
                    <xdr:col>12</xdr:col>
                    <xdr:colOff>295275</xdr:colOff>
                    <xdr:row>24</xdr:row>
                    <xdr:rowOff>0</xdr:rowOff>
                  </to>
                </anchor>
              </controlPr>
            </control>
          </mc:Choice>
        </mc:AlternateContent>
        <mc:AlternateContent xmlns:mc="http://schemas.openxmlformats.org/markup-compatibility/2006">
          <mc:Choice Requires="x14">
            <control shapeId="4115" r:id="rId15" name="Check Box 19">
              <controlPr defaultSize="0" autoFill="0" autoLine="0" autoPict="0">
                <anchor moveWithCells="1">
                  <from>
                    <xdr:col>13</xdr:col>
                    <xdr:colOff>0</xdr:colOff>
                    <xdr:row>23</xdr:row>
                    <xdr:rowOff>0</xdr:rowOff>
                  </from>
                  <to>
                    <xdr:col>13</xdr:col>
                    <xdr:colOff>295275</xdr:colOff>
                    <xdr:row>24</xdr:row>
                    <xdr:rowOff>0</xdr:rowOff>
                  </to>
                </anchor>
              </controlPr>
            </control>
          </mc:Choice>
        </mc:AlternateContent>
        <mc:AlternateContent xmlns:mc="http://schemas.openxmlformats.org/markup-compatibility/2006">
          <mc:Choice Requires="x14">
            <control shapeId="4116" r:id="rId16" name="Check Box 20">
              <controlPr defaultSize="0" autoFill="0" autoLine="0" autoPict="0">
                <anchor moveWithCells="1">
                  <from>
                    <xdr:col>14</xdr:col>
                    <xdr:colOff>219075</xdr:colOff>
                    <xdr:row>23</xdr:row>
                    <xdr:rowOff>0</xdr:rowOff>
                  </from>
                  <to>
                    <xdr:col>14</xdr:col>
                    <xdr:colOff>514350</xdr:colOff>
                    <xdr:row>24</xdr:row>
                    <xdr:rowOff>0</xdr:rowOff>
                  </to>
                </anchor>
              </controlPr>
            </control>
          </mc:Choice>
        </mc:AlternateContent>
        <mc:AlternateContent xmlns:mc="http://schemas.openxmlformats.org/markup-compatibility/2006">
          <mc:Choice Requires="x14">
            <control shapeId="4117" r:id="rId17" name="Check Box 21">
              <controlPr defaultSize="0" autoFill="0" autoLine="0" autoPict="0">
                <anchor moveWithCells="1">
                  <from>
                    <xdr:col>12</xdr:col>
                    <xdr:colOff>0</xdr:colOff>
                    <xdr:row>24</xdr:row>
                    <xdr:rowOff>0</xdr:rowOff>
                  </from>
                  <to>
                    <xdr:col>12</xdr:col>
                    <xdr:colOff>295275</xdr:colOff>
                    <xdr:row>25</xdr:row>
                    <xdr:rowOff>0</xdr:rowOff>
                  </to>
                </anchor>
              </controlPr>
            </control>
          </mc:Choice>
        </mc:AlternateContent>
        <mc:AlternateContent xmlns:mc="http://schemas.openxmlformats.org/markup-compatibility/2006">
          <mc:Choice Requires="x14">
            <control shapeId="4118" r:id="rId18" name="Check Box 22">
              <controlPr defaultSize="0" autoFill="0" autoLine="0" autoPict="0">
                <anchor moveWithCells="1">
                  <from>
                    <xdr:col>13</xdr:col>
                    <xdr:colOff>0</xdr:colOff>
                    <xdr:row>24</xdr:row>
                    <xdr:rowOff>0</xdr:rowOff>
                  </from>
                  <to>
                    <xdr:col>13</xdr:col>
                    <xdr:colOff>295275</xdr:colOff>
                    <xdr:row>25</xdr:row>
                    <xdr:rowOff>0</xdr:rowOff>
                  </to>
                </anchor>
              </controlPr>
            </control>
          </mc:Choice>
        </mc:AlternateContent>
        <mc:AlternateContent xmlns:mc="http://schemas.openxmlformats.org/markup-compatibility/2006">
          <mc:Choice Requires="x14">
            <control shapeId="4119" r:id="rId19" name="Check Box 23">
              <controlPr defaultSize="0" autoFill="0" autoLine="0" autoPict="0">
                <anchor moveWithCells="1">
                  <from>
                    <xdr:col>14</xdr:col>
                    <xdr:colOff>219075</xdr:colOff>
                    <xdr:row>24</xdr:row>
                    <xdr:rowOff>0</xdr:rowOff>
                  </from>
                  <to>
                    <xdr:col>14</xdr:col>
                    <xdr:colOff>514350</xdr:colOff>
                    <xdr:row>25</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00B050"/>
    <pageSetUpPr fitToPage="1"/>
  </sheetPr>
  <dimension ref="A1:R42"/>
  <sheetViews>
    <sheetView showGridLines="0" topLeftCell="A13" zoomScale="130" zoomScaleNormal="130" workbookViewId="0">
      <selection activeCell="B27" sqref="B27:O29"/>
    </sheetView>
  </sheetViews>
  <sheetFormatPr defaultColWidth="0" defaultRowHeight="14.25" customHeight="1" zeroHeight="1" x14ac:dyDescent="0.2"/>
  <cols>
    <col min="1" max="2" width="2.85546875" style="279" customWidth="1"/>
    <col min="3" max="5" width="9.140625" style="279" customWidth="1"/>
    <col min="6" max="8" width="3.7109375" style="279" customWidth="1"/>
    <col min="9" max="9" width="6.85546875" style="279" customWidth="1"/>
    <col min="10" max="10" width="10.5703125" style="279" customWidth="1"/>
    <col min="11" max="11" width="9.140625" style="279" customWidth="1"/>
    <col min="12" max="12" width="5.42578125" style="279" customWidth="1"/>
    <col min="13" max="13" width="14.28515625" style="279" customWidth="1"/>
    <col min="14" max="14" width="9.7109375" style="279" customWidth="1"/>
    <col min="15" max="15" width="6.28515625" style="279" customWidth="1"/>
    <col min="16" max="16" width="2.85546875" style="279" customWidth="1"/>
    <col min="17" max="18" width="2.85546875" style="279" hidden="1" customWidth="1"/>
    <col min="19" max="16384" width="9.140625" style="279" hidden="1"/>
  </cols>
  <sheetData>
    <row r="1" spans="1:16" x14ac:dyDescent="0.2"/>
    <row r="2" spans="1:16" ht="7.5" customHeight="1" x14ac:dyDescent="0.2">
      <c r="A2" s="365"/>
      <c r="B2" s="369"/>
      <c r="C2" s="369"/>
      <c r="D2" s="369"/>
      <c r="E2" s="369"/>
      <c r="F2" s="369"/>
      <c r="G2" s="369"/>
      <c r="H2" s="369"/>
      <c r="I2" s="369"/>
      <c r="J2" s="369"/>
      <c r="K2" s="369"/>
      <c r="L2" s="369"/>
      <c r="M2" s="369"/>
      <c r="N2" s="369"/>
      <c r="O2" s="369"/>
    </row>
    <row r="3" spans="1:16" x14ac:dyDescent="0.2">
      <c r="B3" s="370"/>
      <c r="C3" s="371" t="s">
        <v>726</v>
      </c>
      <c r="D3" s="372"/>
      <c r="E3" s="370"/>
      <c r="F3" s="370"/>
      <c r="G3" s="373"/>
      <c r="H3" s="373"/>
      <c r="I3" s="374"/>
      <c r="J3" s="372"/>
      <c r="K3" s="375"/>
      <c r="L3" s="375"/>
      <c r="M3" s="376" t="s">
        <v>755</v>
      </c>
      <c r="N3" s="372"/>
      <c r="O3" s="372"/>
      <c r="P3" s="298"/>
    </row>
    <row r="4" spans="1:16" x14ac:dyDescent="0.2">
      <c r="B4" s="370"/>
      <c r="C4" s="1015">
        <f>KAM</f>
        <v>0</v>
      </c>
      <c r="D4" s="1016"/>
      <c r="E4" s="370"/>
      <c r="F4" s="370"/>
      <c r="G4" s="373"/>
      <c r="H4" s="373"/>
      <c r="I4" s="1017"/>
      <c r="J4" s="1017"/>
      <c r="K4" s="377"/>
      <c r="L4" s="377"/>
      <c r="M4" s="396">
        <f>FileNumberFortis</f>
        <v>0</v>
      </c>
      <c r="N4" s="378"/>
      <c r="O4" s="378"/>
      <c r="P4" s="299"/>
    </row>
    <row r="5" spans="1:16" ht="7.5" customHeight="1" x14ac:dyDescent="0.2">
      <c r="B5" s="370"/>
      <c r="C5" s="379"/>
      <c r="D5" s="379"/>
      <c r="E5" s="370"/>
      <c r="F5" s="370"/>
      <c r="G5" s="373"/>
      <c r="H5" s="373"/>
      <c r="I5" s="380"/>
      <c r="J5" s="380"/>
      <c r="K5" s="377"/>
      <c r="L5" s="377"/>
      <c r="M5" s="378"/>
      <c r="N5" s="378"/>
      <c r="O5" s="378"/>
      <c r="P5" s="299"/>
    </row>
    <row r="6" spans="1:16" x14ac:dyDescent="0.2">
      <c r="B6" s="303"/>
      <c r="C6" s="303"/>
      <c r="D6" s="303"/>
      <c r="E6" s="303"/>
      <c r="F6" s="303"/>
      <c r="G6" s="303"/>
      <c r="H6" s="303"/>
      <c r="I6" s="303"/>
      <c r="J6" s="297"/>
      <c r="K6" s="297"/>
      <c r="L6" s="303"/>
      <c r="M6" s="303"/>
      <c r="N6" s="303"/>
      <c r="O6" s="303"/>
    </row>
    <row r="7" spans="1:16" x14ac:dyDescent="0.2">
      <c r="B7" s="1018" t="s">
        <v>758</v>
      </c>
      <c r="C7" s="1019"/>
      <c r="D7" s="1019"/>
      <c r="E7" s="1019"/>
      <c r="F7" s="1019"/>
      <c r="G7" s="1019"/>
      <c r="H7" s="1019"/>
      <c r="I7" s="1019"/>
      <c r="J7" s="1019"/>
      <c r="K7" s="1019"/>
      <c r="L7" s="1019"/>
      <c r="M7" s="1019"/>
      <c r="N7" s="1019"/>
      <c r="O7" s="1019"/>
    </row>
    <row r="8" spans="1:16" x14ac:dyDescent="0.2">
      <c r="B8" s="1019"/>
      <c r="C8" s="1019"/>
      <c r="D8" s="1019"/>
      <c r="E8" s="1019"/>
      <c r="F8" s="1019"/>
      <c r="G8" s="1019"/>
      <c r="H8" s="1019"/>
      <c r="I8" s="1019"/>
      <c r="J8" s="1019"/>
      <c r="K8" s="1019"/>
      <c r="L8" s="1019"/>
      <c r="M8" s="1019"/>
      <c r="N8" s="1019"/>
      <c r="O8" s="1019"/>
    </row>
    <row r="9" spans="1:16" ht="7.5" customHeight="1" x14ac:dyDescent="0.2">
      <c r="B9" s="381"/>
      <c r="C9" s="381"/>
      <c r="D9" s="381"/>
      <c r="E9" s="381"/>
      <c r="F9" s="381"/>
      <c r="G9" s="381"/>
      <c r="H9" s="381"/>
      <c r="I9" s="381"/>
      <c r="J9" s="381"/>
      <c r="K9" s="381"/>
      <c r="L9" s="381"/>
      <c r="M9" s="381"/>
      <c r="N9" s="381"/>
      <c r="O9" s="381"/>
    </row>
    <row r="10" spans="1:16" ht="19.5" x14ac:dyDescent="0.2">
      <c r="B10" s="989" t="s">
        <v>743</v>
      </c>
      <c r="C10" s="989"/>
      <c r="D10" s="989"/>
      <c r="E10" s="989"/>
      <c r="F10" s="989"/>
      <c r="G10" s="989"/>
      <c r="H10" s="989"/>
      <c r="I10" s="989"/>
      <c r="J10" s="989"/>
      <c r="K10" s="989"/>
      <c r="L10" s="989"/>
      <c r="M10" s="989"/>
      <c r="N10" s="989"/>
      <c r="O10" s="989"/>
    </row>
    <row r="11" spans="1:16" ht="15.75" x14ac:dyDescent="0.25">
      <c r="B11" s="302"/>
      <c r="C11" s="302"/>
      <c r="D11" s="302"/>
      <c r="E11" s="302"/>
      <c r="F11" s="302"/>
      <c r="G11" s="302"/>
      <c r="H11" s="302"/>
      <c r="I11" s="302"/>
      <c r="J11" s="302"/>
      <c r="K11" s="302"/>
      <c r="L11" s="302"/>
      <c r="M11" s="302"/>
      <c r="N11" s="302"/>
      <c r="O11" s="304"/>
    </row>
    <row r="12" spans="1:16" x14ac:dyDescent="0.2">
      <c r="B12" s="312"/>
      <c r="C12" s="301" t="s">
        <v>618</v>
      </c>
      <c r="D12" s="304"/>
      <c r="E12" s="304"/>
      <c r="O12" s="307"/>
    </row>
    <row r="13" spans="1:16" ht="22.5" customHeight="1" x14ac:dyDescent="0.2">
      <c r="B13" s="312"/>
      <c r="C13" s="1020">
        <f>'Schedule B'!C10:L10</f>
        <v>0</v>
      </c>
      <c r="D13" s="1021"/>
      <c r="E13" s="1021"/>
      <c r="F13" s="1021"/>
      <c r="G13" s="1021"/>
      <c r="H13" s="1021"/>
      <c r="I13" s="1021"/>
      <c r="J13" s="1022"/>
      <c r="K13" s="382"/>
      <c r="L13" s="382"/>
      <c r="M13" s="382"/>
      <c r="N13" s="382"/>
      <c r="O13" s="307"/>
    </row>
    <row r="14" spans="1:16" x14ac:dyDescent="0.2">
      <c r="B14" s="312"/>
      <c r="C14" s="312"/>
      <c r="D14" s="383"/>
      <c r="E14" s="295"/>
      <c r="F14" s="295"/>
      <c r="G14" s="295"/>
      <c r="H14" s="295"/>
      <c r="I14" s="295"/>
      <c r="J14" s="295"/>
      <c r="K14" s="303"/>
      <c r="L14" s="303"/>
      <c r="M14" s="295"/>
      <c r="N14" s="295"/>
      <c r="O14" s="313"/>
    </row>
    <row r="15" spans="1:16" ht="19.5" x14ac:dyDescent="0.2">
      <c r="B15" s="966" t="s">
        <v>744</v>
      </c>
      <c r="C15" s="966"/>
      <c r="D15" s="966"/>
      <c r="E15" s="966"/>
      <c r="F15" s="966"/>
      <c r="G15" s="966"/>
      <c r="H15" s="966"/>
      <c r="I15" s="966"/>
      <c r="J15" s="966"/>
      <c r="K15" s="966"/>
      <c r="L15" s="966"/>
      <c r="M15" s="966"/>
      <c r="N15" s="966"/>
      <c r="O15" s="966"/>
    </row>
    <row r="16" spans="1:16" ht="11.25" customHeight="1" x14ac:dyDescent="0.2">
      <c r="B16" s="384"/>
      <c r="C16" s="384"/>
      <c r="D16" s="384"/>
      <c r="E16" s="384"/>
      <c r="F16" s="384"/>
      <c r="G16" s="384"/>
      <c r="H16" s="384"/>
      <c r="I16" s="384"/>
      <c r="J16" s="384"/>
      <c r="K16" s="384"/>
      <c r="L16" s="384"/>
      <c r="M16" s="384"/>
      <c r="N16" s="384"/>
      <c r="O16" s="384"/>
    </row>
    <row r="17" spans="2:15" ht="22.5" customHeight="1" x14ac:dyDescent="0.2">
      <c r="C17" s="385" t="s">
        <v>745</v>
      </c>
      <c r="D17" s="385"/>
      <c r="E17" s="385"/>
      <c r="F17" s="385"/>
      <c r="G17" s="385"/>
      <c r="H17" s="385"/>
      <c r="I17" s="993"/>
      <c r="J17" s="994"/>
      <c r="K17" s="995" t="s">
        <v>746</v>
      </c>
      <c r="L17" s="995"/>
      <c r="M17" s="995"/>
      <c r="N17" s="995"/>
      <c r="O17" s="995"/>
    </row>
    <row r="18" spans="2:15" ht="22.5" customHeight="1" x14ac:dyDescent="0.2">
      <c r="C18" s="360" t="s">
        <v>747</v>
      </c>
      <c r="D18" s="360"/>
      <c r="E18" s="360"/>
      <c r="F18" s="360"/>
      <c r="G18" s="360"/>
      <c r="H18" s="360"/>
      <c r="I18" s="996">
        <f>'Schedule B'!C16</f>
        <v>0</v>
      </c>
      <c r="J18" s="997"/>
      <c r="K18" s="995"/>
      <c r="L18" s="995"/>
      <c r="M18" s="995"/>
      <c r="N18" s="995"/>
      <c r="O18" s="995"/>
    </row>
    <row r="19" spans="2:15" ht="15.75" x14ac:dyDescent="0.2">
      <c r="C19" s="360"/>
      <c r="D19" s="360"/>
      <c r="E19" s="360"/>
      <c r="F19" s="360"/>
      <c r="G19" s="360"/>
      <c r="H19" s="360"/>
      <c r="I19" s="386"/>
      <c r="J19" s="386"/>
      <c r="K19" s="387"/>
      <c r="L19" s="387"/>
      <c r="M19" s="387"/>
      <c r="N19" s="387"/>
      <c r="O19" s="387"/>
    </row>
    <row r="20" spans="2:15" x14ac:dyDescent="0.2">
      <c r="B20" s="998" t="s">
        <v>748</v>
      </c>
      <c r="C20" s="999"/>
      <c r="D20" s="999"/>
      <c r="E20" s="999"/>
      <c r="F20" s="999"/>
      <c r="G20" s="999"/>
      <c r="H20" s="999"/>
      <c r="I20" s="999"/>
      <c r="J20" s="999"/>
      <c r="K20" s="999"/>
      <c r="L20" s="999"/>
      <c r="M20" s="999"/>
      <c r="N20" s="1000"/>
      <c r="O20" s="388"/>
    </row>
    <row r="21" spans="2:15" x14ac:dyDescent="0.2">
      <c r="B21" s="1001"/>
      <c r="C21" s="1002"/>
      <c r="D21" s="1002"/>
      <c r="E21" s="1002"/>
      <c r="F21" s="1002"/>
      <c r="G21" s="1002"/>
      <c r="H21" s="1002"/>
      <c r="I21" s="1002"/>
      <c r="J21" s="1002"/>
      <c r="K21" s="1002"/>
      <c r="L21" s="1002"/>
      <c r="M21" s="1002"/>
      <c r="N21" s="1003"/>
      <c r="O21" s="389"/>
    </row>
    <row r="22" spans="2:15" x14ac:dyDescent="0.2">
      <c r="B22" s="390"/>
      <c r="C22" s="390"/>
      <c r="D22" s="390"/>
      <c r="E22" s="390"/>
      <c r="F22" s="390"/>
      <c r="G22" s="390"/>
      <c r="H22" s="390"/>
      <c r="I22" s="390"/>
      <c r="J22" s="390"/>
      <c r="K22" s="390"/>
      <c r="L22" s="390"/>
      <c r="M22" s="390"/>
      <c r="N22" s="390"/>
      <c r="O22" s="391"/>
    </row>
    <row r="23" spans="2:15" x14ac:dyDescent="0.2">
      <c r="B23" s="1004" t="s">
        <v>749</v>
      </c>
      <c r="C23" s="1004"/>
      <c r="D23" s="1004"/>
      <c r="E23" s="1004"/>
      <c r="F23" s="1004"/>
      <c r="G23" s="1004"/>
      <c r="H23" s="1004"/>
      <c r="I23" s="1004"/>
      <c r="J23" s="1004"/>
      <c r="K23" s="1004"/>
      <c r="L23" s="1004"/>
      <c r="M23" s="1004"/>
      <c r="N23" s="1004"/>
      <c r="O23" s="1004"/>
    </row>
    <row r="24" spans="2:15" x14ac:dyDescent="0.2">
      <c r="B24" s="1005" t="s">
        <v>750</v>
      </c>
      <c r="C24" s="1005"/>
      <c r="D24" s="1005"/>
      <c r="E24" s="1005"/>
      <c r="F24" s="1005"/>
      <c r="G24" s="1005"/>
      <c r="H24" s="1005"/>
      <c r="I24" s="1005"/>
      <c r="J24" s="1005"/>
      <c r="K24" s="1005"/>
      <c r="L24" s="1005"/>
      <c r="M24" s="1005"/>
      <c r="N24" s="1005"/>
      <c r="O24" s="1005"/>
    </row>
    <row r="25" spans="2:15" x14ac:dyDescent="0.2">
      <c r="B25" s="392"/>
      <c r="C25" s="334"/>
      <c r="D25" s="334"/>
      <c r="E25" s="334"/>
      <c r="F25" s="334"/>
      <c r="G25" s="334"/>
      <c r="H25" s="334"/>
      <c r="I25" s="334"/>
      <c r="J25" s="334"/>
      <c r="K25" s="334"/>
      <c r="L25" s="334"/>
      <c r="M25" s="334"/>
      <c r="N25" s="393"/>
      <c r="O25" s="334"/>
    </row>
    <row r="26" spans="2:15" ht="22.5" customHeight="1" x14ac:dyDescent="0.2">
      <c r="B26" s="966" t="s">
        <v>734</v>
      </c>
      <c r="C26" s="966"/>
      <c r="D26" s="966"/>
      <c r="E26" s="966"/>
      <c r="F26" s="966"/>
      <c r="G26" s="966"/>
      <c r="H26" s="966"/>
      <c r="I26" s="966"/>
      <c r="J26" s="966"/>
      <c r="K26" s="966"/>
      <c r="L26" s="966"/>
      <c r="M26" s="966"/>
      <c r="N26" s="966"/>
      <c r="O26" s="966"/>
    </row>
    <row r="27" spans="2:15" x14ac:dyDescent="0.2">
      <c r="B27" s="1006" t="s">
        <v>751</v>
      </c>
      <c r="C27" s="1007"/>
      <c r="D27" s="1007"/>
      <c r="E27" s="1007"/>
      <c r="F27" s="1007"/>
      <c r="G27" s="1007"/>
      <c r="H27" s="1007"/>
      <c r="I27" s="1007"/>
      <c r="J27" s="1007"/>
      <c r="K27" s="1007"/>
      <c r="L27" s="1007"/>
      <c r="M27" s="1007"/>
      <c r="N27" s="1007"/>
      <c r="O27" s="1008"/>
    </row>
    <row r="28" spans="2:15" x14ac:dyDescent="0.2">
      <c r="B28" s="1009"/>
      <c r="C28" s="1010"/>
      <c r="D28" s="1010"/>
      <c r="E28" s="1010"/>
      <c r="F28" s="1010"/>
      <c r="G28" s="1010"/>
      <c r="H28" s="1010"/>
      <c r="I28" s="1010"/>
      <c r="J28" s="1010"/>
      <c r="K28" s="1010"/>
      <c r="L28" s="1010"/>
      <c r="M28" s="1010"/>
      <c r="N28" s="1010"/>
      <c r="O28" s="1011"/>
    </row>
    <row r="29" spans="2:15" x14ac:dyDescent="0.2">
      <c r="B29" s="1012"/>
      <c r="C29" s="1013"/>
      <c r="D29" s="1013"/>
      <c r="E29" s="1013"/>
      <c r="F29" s="1013"/>
      <c r="G29" s="1013"/>
      <c r="H29" s="1013"/>
      <c r="I29" s="1013"/>
      <c r="J29" s="1013"/>
      <c r="K29" s="1013"/>
      <c r="L29" s="1013"/>
      <c r="M29" s="1013"/>
      <c r="N29" s="1013"/>
      <c r="O29" s="1014"/>
    </row>
    <row r="30" spans="2:15" x14ac:dyDescent="0.2">
      <c r="B30" s="393"/>
      <c r="C30" s="393"/>
      <c r="D30" s="393"/>
      <c r="E30" s="393"/>
      <c r="F30" s="393"/>
      <c r="G30" s="393"/>
      <c r="H30" s="393"/>
      <c r="I30" s="393"/>
      <c r="J30" s="393"/>
      <c r="K30" s="393"/>
      <c r="L30" s="393"/>
      <c r="M30" s="393"/>
      <c r="N30" s="393"/>
      <c r="O30" s="393"/>
    </row>
    <row r="31" spans="2:15" x14ac:dyDescent="0.2">
      <c r="B31" s="353" t="s">
        <v>736</v>
      </c>
      <c r="C31" s="360"/>
      <c r="D31" s="360"/>
      <c r="E31" s="360"/>
      <c r="F31" s="356"/>
      <c r="G31" s="356"/>
      <c r="H31" s="356"/>
      <c r="I31" s="356"/>
      <c r="J31" s="356"/>
      <c r="K31" s="356"/>
      <c r="L31" s="356"/>
      <c r="M31" s="356"/>
      <c r="N31" s="394"/>
      <c r="O31" s="394"/>
    </row>
    <row r="32" spans="2:15" ht="22.5" customHeight="1" x14ac:dyDescent="0.2">
      <c r="B32" s="954"/>
      <c r="C32" s="955"/>
      <c r="D32" s="955"/>
      <c r="E32" s="955"/>
      <c r="F32" s="955"/>
      <c r="G32" s="955"/>
      <c r="H32" s="955"/>
      <c r="I32" s="955"/>
      <c r="J32" s="955"/>
      <c r="K32" s="956"/>
      <c r="L32" s="362"/>
      <c r="M32" s="362"/>
      <c r="N32" s="362"/>
      <c r="O32" s="362"/>
    </row>
    <row r="33" spans="2:15" ht="22.5" customHeight="1" x14ac:dyDescent="0.2">
      <c r="B33" s="363"/>
      <c r="C33" s="363"/>
      <c r="D33" s="363"/>
      <c r="E33" s="363"/>
      <c r="F33" s="363"/>
      <c r="G33" s="363"/>
      <c r="H33" s="363"/>
      <c r="I33" s="363"/>
      <c r="J33" s="363"/>
      <c r="K33" s="363"/>
      <c r="L33" s="362"/>
      <c r="M33" s="362"/>
      <c r="N33" s="362"/>
      <c r="O33" s="362"/>
    </row>
    <row r="34" spans="2:15" x14ac:dyDescent="0.2">
      <c r="B34" s="353" t="s">
        <v>737</v>
      </c>
      <c r="C34" s="360"/>
      <c r="D34" s="360"/>
      <c r="E34" s="360"/>
      <c r="F34" s="356"/>
      <c r="G34" s="356"/>
      <c r="H34" s="356"/>
      <c r="I34" s="343"/>
      <c r="J34" s="343"/>
      <c r="K34" s="353" t="s">
        <v>738</v>
      </c>
      <c r="L34" s="361"/>
      <c r="M34" s="356"/>
      <c r="N34" s="395"/>
      <c r="O34" s="395"/>
    </row>
    <row r="35" spans="2:15" ht="22.5" customHeight="1" x14ac:dyDescent="0.2">
      <c r="B35" s="954"/>
      <c r="C35" s="955"/>
      <c r="D35" s="955"/>
      <c r="E35" s="955"/>
      <c r="F35" s="955"/>
      <c r="G35" s="955"/>
      <c r="H35" s="955"/>
      <c r="I35" s="956"/>
      <c r="J35" s="343"/>
      <c r="K35" s="990"/>
      <c r="L35" s="991"/>
      <c r="M35" s="992"/>
      <c r="N35" s="364"/>
      <c r="O35" s="364"/>
    </row>
    <row r="36" spans="2:15" ht="22.5" customHeight="1" x14ac:dyDescent="0.2">
      <c r="B36" s="363"/>
      <c r="C36" s="363"/>
      <c r="D36" s="363"/>
      <c r="E36" s="363"/>
      <c r="F36" s="363"/>
      <c r="G36" s="363"/>
      <c r="H36" s="363"/>
      <c r="I36" s="363"/>
      <c r="J36" s="356"/>
      <c r="K36" s="366"/>
      <c r="L36" s="366"/>
      <c r="M36" s="366"/>
      <c r="N36" s="364"/>
      <c r="O36" s="364"/>
    </row>
    <row r="37" spans="2:15" x14ac:dyDescent="0.2">
      <c r="B37" s="353" t="s">
        <v>739</v>
      </c>
      <c r="C37" s="360"/>
      <c r="D37" s="360"/>
      <c r="E37" s="360"/>
      <c r="F37" s="356"/>
      <c r="G37" s="356"/>
      <c r="H37" s="356"/>
      <c r="I37" s="343"/>
      <c r="J37" s="343"/>
      <c r="K37" s="353" t="s">
        <v>740</v>
      </c>
      <c r="L37" s="361"/>
      <c r="M37" s="356"/>
      <c r="N37" s="395"/>
      <c r="O37" s="395"/>
    </row>
    <row r="38" spans="2:15" ht="22.5" customHeight="1" x14ac:dyDescent="0.2">
      <c r="B38" s="954"/>
      <c r="C38" s="955"/>
      <c r="D38" s="955"/>
      <c r="E38" s="955"/>
      <c r="F38" s="955"/>
      <c r="G38" s="955"/>
      <c r="H38" s="955"/>
      <c r="I38" s="956"/>
      <c r="J38" s="343"/>
      <c r="K38" s="990"/>
      <c r="L38" s="991"/>
      <c r="M38" s="992"/>
      <c r="N38" s="356"/>
      <c r="O38" s="356"/>
    </row>
    <row r="39" spans="2:15" ht="15" customHeight="1" x14ac:dyDescent="0.2">
      <c r="B39" s="363"/>
      <c r="C39" s="363"/>
      <c r="D39" s="363"/>
      <c r="E39" s="363"/>
      <c r="F39" s="363"/>
      <c r="G39" s="363"/>
      <c r="H39" s="363"/>
      <c r="I39" s="363"/>
      <c r="J39" s="356"/>
      <c r="K39" s="366"/>
      <c r="L39" s="366"/>
      <c r="M39" s="366"/>
      <c r="N39" s="356"/>
      <c r="O39" s="356"/>
    </row>
    <row r="40" spans="2:15" hidden="1" x14ac:dyDescent="0.2">
      <c r="B40" s="343"/>
      <c r="C40" s="343"/>
      <c r="D40" s="343"/>
      <c r="E40" s="343"/>
      <c r="F40" s="343"/>
      <c r="G40" s="343"/>
      <c r="H40" s="343"/>
      <c r="I40" s="343"/>
      <c r="J40" s="343"/>
      <c r="K40" s="343"/>
      <c r="L40" s="343"/>
      <c r="M40" s="343"/>
      <c r="N40" s="343"/>
      <c r="O40" s="343"/>
    </row>
    <row r="41" spans="2:15" hidden="1" x14ac:dyDescent="0.2">
      <c r="B41" s="343"/>
      <c r="C41" s="343"/>
      <c r="D41" s="343"/>
      <c r="E41" s="343"/>
      <c r="F41" s="343"/>
      <c r="G41" s="343"/>
      <c r="H41" s="343"/>
      <c r="I41" s="343"/>
      <c r="J41" s="343"/>
      <c r="K41" s="343"/>
      <c r="L41" s="343"/>
      <c r="M41" s="343"/>
      <c r="N41" s="343"/>
      <c r="O41" s="343"/>
    </row>
    <row r="42" spans="2:15" hidden="1" x14ac:dyDescent="0.2">
      <c r="B42" s="343"/>
      <c r="C42" s="343"/>
      <c r="D42" s="343"/>
      <c r="E42" s="343"/>
      <c r="F42" s="343"/>
      <c r="G42" s="343"/>
      <c r="H42" s="343"/>
      <c r="I42" s="343"/>
      <c r="J42" s="343"/>
      <c r="K42" s="343"/>
      <c r="L42" s="343"/>
      <c r="M42" s="343"/>
      <c r="N42" s="343"/>
      <c r="O42" s="343"/>
    </row>
  </sheetData>
  <mergeCells count="19">
    <mergeCell ref="B15:O15"/>
    <mergeCell ref="C4:D4"/>
    <mergeCell ref="I4:J4"/>
    <mergeCell ref="B7:O8"/>
    <mergeCell ref="B10:O10"/>
    <mergeCell ref="C13:J13"/>
    <mergeCell ref="B38:I38"/>
    <mergeCell ref="K38:M38"/>
    <mergeCell ref="I17:J17"/>
    <mergeCell ref="K17:O18"/>
    <mergeCell ref="I18:J18"/>
    <mergeCell ref="B20:N21"/>
    <mergeCell ref="B23:O23"/>
    <mergeCell ref="B24:O24"/>
    <mergeCell ref="B26:O26"/>
    <mergeCell ref="B27:O29"/>
    <mergeCell ref="B32:K32"/>
    <mergeCell ref="B35:I35"/>
    <mergeCell ref="K35:M35"/>
  </mergeCells>
  <pageMargins left="0.5" right="0.5" top="0.75" bottom="0.75" header="0.15" footer="0.3"/>
  <pageSetup scale="92" fitToHeight="0" orientation="portrait" r:id="rId1"/>
  <headerFooter>
    <oddHeader>&amp;L&amp;"Arial,Bold"&amp;16&amp;K10A3C8Schedule C&amp;"Arial,Regular"&amp;K004F6C
&amp;14BC Hydro incentive project invoices and implementation support documents</oddHeader>
    <oddFooter>&amp;R&amp;G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14</xdr:col>
                    <xdr:colOff>152400</xdr:colOff>
                    <xdr:row>19</xdr:row>
                    <xdr:rowOff>95250</xdr:rowOff>
                  </from>
                  <to>
                    <xdr:col>14</xdr:col>
                    <xdr:colOff>400050</xdr:colOff>
                    <xdr:row>20</xdr:row>
                    <xdr:rowOff>95250</xdr:rowOff>
                  </to>
                </anchor>
              </controlPr>
            </control>
          </mc:Choice>
        </mc:AlternateContent>
        <mc:AlternateContent xmlns:mc="http://schemas.openxmlformats.org/markup-compatibility/2006">
          <mc:Choice Requires="x14">
            <control shapeId="5122" r:id="rId6" name="Group Box 2">
              <controlPr defaultSize="0" autoFill="0" autoPict="0">
                <anchor moveWithCells="1">
                  <from>
                    <xdr:col>4</xdr:col>
                    <xdr:colOff>38100</xdr:colOff>
                    <xdr:row>22</xdr:row>
                    <xdr:rowOff>9525</xdr:rowOff>
                  </from>
                  <to>
                    <xdr:col>8</xdr:col>
                    <xdr:colOff>304800</xdr:colOff>
                    <xdr:row>23</xdr:row>
                    <xdr:rowOff>76200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st_x0020_Centre_x0020__x0023_ xmlns="da067df9-a96b-4127-a369-96321e421208">9462</Cost_x0020_Centre_x0020__x0023_>
    <Engineering_x0020__x002d_Team xmlns="da067df9-a96b-4127-a369-96321e421208" xsi:nil="true"/>
    <Operations_x002d_Program xmlns="da067df9-a96b-4127-a369-96321e421208" xsi:nil="true"/>
    <Operations_x0020_Program_x002f_Offer_x0020_Type xmlns="da067df9-a96b-4127-a369-96321e421208" xsi:nil="true"/>
    <Work_x0020_Group xmlns="da067df9-a96b-4127-a369-96321e421208">Engineering</Work_x0020_Group>
    <Previously_x0020_known_x0020_as xmlns="da067df9-a96b-4127-a369-96321e421208" xsi:nil="true"/>
    <Identifier xmlns="da067df9-a96b-4127-a369-96321e421208">CEM-9462-OPE-CAL-65</Identifier>
    <Engineering_x002d_Document_x0020_status xmlns="da067df9-a96b-4127-a369-96321e421208" xsi:nil="true"/>
    <Admin xmlns="da067df9-a96b-4127-a369-96321e421208" xsi:nil="true"/>
    <Document_x0020_Category xmlns="da067df9-a96b-4127-a369-96321e421208">Operational</Document_x0020_Category>
    <Operations_x002d_Program_x0020_Sector xmlns="da067df9-a96b-4127-a369-96321e421208" xsi:nil="true"/>
    <Operations_x0020_Program_x002f_Offer xmlns="da067df9-a96b-4127-a369-96321e421208" xsi:nil="true"/>
    <Engineering_x0020__x002d__x0020_Categories xmlns="da067df9-a96b-4127-a369-96321e421208">Alliance</Engineering_x0020__x002d__x0020_Categorie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8309455C23F84EA68932F8CBFADAE0" ma:contentTypeVersion="18" ma:contentTypeDescription="Create a new document." ma:contentTypeScope="" ma:versionID="cec3f76e32a0141a7e1c060a4729f7c0">
  <xsd:schema xmlns:xsd="http://www.w3.org/2001/XMLSchema" xmlns:xs="http://www.w3.org/2001/XMLSchema" xmlns:p="http://schemas.microsoft.com/office/2006/metadata/properties" xmlns:ns2="da067df9-a96b-4127-a369-96321e421208" targetNamespace="http://schemas.microsoft.com/office/2006/metadata/properties" ma:root="true" ma:fieldsID="83786ef0cb13ac477029ee60dc419c5a" ns2:_="">
    <xsd:import namespace="da067df9-a96b-4127-a369-96321e421208"/>
    <xsd:element name="properties">
      <xsd:complexType>
        <xsd:sequence>
          <xsd:element name="documentManagement">
            <xsd:complexType>
              <xsd:all>
                <xsd:element ref="ns2:Work_x0020_Group"/>
                <xsd:element ref="ns2:Cost_x0020_Centre_x0020__x0023_"/>
                <xsd:element ref="ns2:Document_x0020_Category"/>
                <xsd:element ref="ns2:Previously_x0020_known_x0020_as" minOccurs="0"/>
                <xsd:element ref="ns2:Engineering_x0020__x002d_Team" minOccurs="0"/>
                <xsd:element ref="ns2:Engineering_x002d_Document_x0020_status" minOccurs="0"/>
                <xsd:element ref="ns2:Operations_x002d_Program_x0020_Sector" minOccurs="0"/>
                <xsd:element ref="ns2:Operations_x002d_Program" minOccurs="0"/>
                <xsd:element ref="ns2:Operations_x0020_Program_x002f_Offer_x0020_Type" minOccurs="0"/>
                <xsd:element ref="ns2:Operations_x0020_Program_x002f_Offer" minOccurs="0"/>
                <xsd:element ref="ns2:Admin" minOccurs="0"/>
                <xsd:element ref="ns2:Identifier" minOccurs="0"/>
                <xsd:element ref="ns2:Engineering_x0020__x002d__x0020_Categor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067df9-a96b-4127-a369-96321e421208" elementFormDefault="qualified">
    <xsd:import namespace="http://schemas.microsoft.com/office/2006/documentManagement/types"/>
    <xsd:import namespace="http://schemas.microsoft.com/office/infopath/2007/PartnerControls"/>
    <xsd:element name="Work_x0020_Group" ma:index="2" ma:displayName="Work Group" ma:format="Dropdown" ma:internalName="Work_x0020_Group">
      <xsd:simpleType>
        <xsd:restriction base="dms:Choice">
          <xsd:enumeration value="Operations"/>
          <xsd:enumeration value="Engineering"/>
          <xsd:enumeration value="Business Systems"/>
          <xsd:enumeration value="Business Processes"/>
          <xsd:enumeration value="Quality Management"/>
        </xsd:restriction>
      </xsd:simpleType>
    </xsd:element>
    <xsd:element name="Cost_x0020_Centre_x0020__x0023_" ma:index="3" ma:displayName="Cost Centre # Abbreviation" ma:format="Dropdown" ma:internalName="Cost_x0020_Centre_x0020__x0023_">
      <xsd:simpleType>
        <xsd:restriction base="dms:Choice">
          <xsd:enumeration value="9457"/>
          <xsd:enumeration value="9462"/>
          <xsd:enumeration value="9474"/>
        </xsd:restriction>
      </xsd:simpleType>
    </xsd:element>
    <xsd:element name="Document_x0020_Category" ma:index="4" ma:displayName="Document Category" ma:format="Dropdown" ma:internalName="Document_x0020_Category">
      <xsd:simpleType>
        <xsd:restriction base="dms:Choice">
          <xsd:enumeration value="Strategic"/>
          <xsd:enumeration value="Tactical"/>
          <xsd:enumeration value="Operational"/>
        </xsd:restriction>
      </xsd:simpleType>
    </xsd:element>
    <xsd:element name="Previously_x0020_known_x0020_as" ma:index="6" nillable="true" ma:displayName="Previously known as" ma:internalName="Previously_x0020_known_x0020_as">
      <xsd:simpleType>
        <xsd:restriction base="dms:Text">
          <xsd:maxLength value="255"/>
        </xsd:restriction>
      </xsd:simpleType>
    </xsd:element>
    <xsd:element name="Engineering_x0020__x002d_Team" ma:index="7" nillable="true" ma:displayName="Engineering -Team" ma:format="Dropdown" ma:internalName="Engineering_x0020__x002d_Team">
      <xsd:simpleType>
        <xsd:restriction base="dms:Choice">
          <xsd:enumeration value="Commercial-Mechanical"/>
          <xsd:enumeration value="Industrial"/>
          <xsd:enumeration value="Lighting"/>
          <xsd:enumeration value="Commercial CNC"/>
        </xsd:restriction>
      </xsd:simpleType>
    </xsd:element>
    <xsd:element name="Engineering_x002d_Document_x0020_status" ma:index="8" nillable="true" ma:displayName="Engineering-Document status" ma:format="Dropdown" ma:internalName="Engineering_x002d_Document_x0020_status">
      <xsd:simpleType>
        <xsd:restriction base="dms:Choice">
          <xsd:enumeration value="Awaiting approval"/>
          <xsd:enumeration value="Current"/>
          <xsd:enumeration value="Update in progress"/>
          <xsd:enumeration value="Update required"/>
        </xsd:restriction>
      </xsd:simpleType>
    </xsd:element>
    <xsd:element name="Operations_x002d_Program_x0020_Sector" ma:index="9" nillable="true" ma:displayName="Operations-Program Sector" ma:format="Dropdown" ma:internalName="Operations_x002d_Program_x0020_Sector">
      <xsd:simpleType>
        <xsd:restriction base="dms:Choice">
          <xsd:enumeration value="Commercial"/>
          <xsd:enumeration value="Commercial and Industrial"/>
          <xsd:enumeration value="Industrial"/>
          <xsd:enumeration value="Residential"/>
        </xsd:restriction>
      </xsd:simpleType>
    </xsd:element>
    <xsd:element name="Operations_x002d_Program" ma:index="10" nillable="true" ma:displayName="Operations-Program" ma:format="Dropdown" ma:internalName="Operations_x002d_Program">
      <xsd:simpleType>
        <xsd:restriction base="dms:Choice">
          <xsd:enumeration value="Behavioural"/>
          <xsd:enumeration value="Capacity Focused DSM"/>
          <xsd:enumeration value="Commercial"/>
          <xsd:enumeration value="Commercial and Distribution"/>
          <xsd:enumeration value="Commercial, Distribution and Transmission"/>
          <xsd:enumeration value="C.Op"/>
          <xsd:enumeration value="CNC"/>
          <xsd:enumeration value="Distribution"/>
          <xsd:enumeration value="Distribution and Transmission"/>
          <xsd:enumeration value="Load Curtailment"/>
          <xsd:enumeration value="Load Displacement"/>
          <xsd:enumeration value="Low Income"/>
          <xsd:enumeration value="Reno Rebate"/>
          <xsd:enumeration value="Retail"/>
          <xsd:enumeration value="Transmission"/>
        </xsd:restriction>
      </xsd:simpleType>
    </xsd:element>
    <xsd:element name="Operations_x0020_Program_x002f_Offer_x0020_Type" ma:index="11" nillable="true" ma:displayName="Operations Program Offer Type" ma:format="Dropdown" ma:internalName="Operations_x0020_Program_x002f_Offer_x0020_Type">
      <xsd:simpleType>
        <xsd:restriction base="dms:Choice">
          <xsd:enumeration value="Cross Functional"/>
          <xsd:enumeration value="Energy Manager"/>
          <xsd:enumeration value="Energy Study"/>
          <xsd:enumeration value="Incentive"/>
          <xsd:enumeration value="Program Enabled"/>
        </xsd:restriction>
      </xsd:simpleType>
    </xsd:element>
    <xsd:element name="Operations_x0020_Program_x002f_Offer" ma:index="12" nillable="true" ma:displayName="Operations Program Offer" ma:format="Dropdown" ma:internalName="Operations_x0020_Program_x002f_Offer">
      <xsd:simpleType>
        <xsd:restriction base="dms:Choice">
          <xsd:enumeration value="Incentive"/>
          <xsd:enumeration value="Energy Study"/>
          <xsd:enumeration value="Energy Manager"/>
          <xsd:enumeration value="Program Enabled"/>
          <xsd:enumeration value="EELD"/>
          <xsd:enumeration value="EM&amp;T"/>
          <xsd:enumeration value="EUA"/>
          <xsd:enumeration value="NPD"/>
          <xsd:enumeration value="Plant Wide Audit Level 1"/>
          <xsd:enumeration value="SIP"/>
          <xsd:enumeration value="BCH EE"/>
          <xsd:enumeration value="Cohort"/>
          <xsd:enumeration value="WBD"/>
          <xsd:enumeration value="Demo"/>
          <xsd:enumeration value="Energy Wise Network"/>
          <xsd:enumeration value="Sustainable Communities"/>
          <xsd:enumeration value="WCA"/>
          <xsd:enumeration value="Alumni"/>
          <xsd:enumeration value="TMP"/>
          <xsd:enumeration value="Advanced load curtailment"/>
          <xsd:enumeration value="PWA level 2"/>
          <xsd:enumeration value="PWA level 3"/>
          <xsd:enumeration value="Compressed air  optimization"/>
          <xsd:enumeration value="BCH Funded LDPA"/>
          <xsd:enumeration value="Customer funded LDPA"/>
          <xsd:enumeration value="BCH Funded LDFS"/>
          <xsd:enumeration value="Customer funded LDFS"/>
          <xsd:enumeration value="LDA-IPO"/>
          <xsd:enumeration value="System Design"/>
          <xsd:enumeration value="Load mgmt."/>
          <xsd:enumeration value="LDA"/>
        </xsd:restriction>
      </xsd:simpleType>
    </xsd:element>
    <xsd:element name="Admin" ma:index="13" nillable="true" ma:displayName="Admin" ma:format="Dropdown" ma:internalName="Admin">
      <xsd:simpleType>
        <xsd:restriction base="dms:Choice">
          <xsd:enumeration value="Policy"/>
          <xsd:enumeration value="Standard"/>
          <xsd:enumeration value="Framework"/>
          <xsd:enumeration value="Manual"/>
          <xsd:enumeration value="Guidelines"/>
          <xsd:enumeration value="Process Map"/>
          <xsd:enumeration value="Procedure"/>
          <xsd:enumeration value="Task Instruction"/>
          <xsd:enumeration value="Memo"/>
          <xsd:enumeration value="Briefing Note"/>
          <xsd:enumeration value="Review"/>
          <xsd:enumeration value="Presentation"/>
          <xsd:enumeration value="Report"/>
          <xsd:enumeration value="Email"/>
        </xsd:restriction>
      </xsd:simpleType>
    </xsd:element>
    <xsd:element name="Identifier" ma:index="14" nillable="true" ma:displayName="Identifier" ma:indexed="true" ma:internalName="Identifier">
      <xsd:simpleType>
        <xsd:restriction base="dms:Text">
          <xsd:maxLength value="255"/>
        </xsd:restriction>
      </xsd:simpleType>
    </xsd:element>
    <xsd:element name="Engineering_x0020__x002d__x0020_Categories" ma:index="22" nillable="true" ma:displayName="Engineering - Categories" ma:default="Alliance" ma:format="Dropdown" ma:internalName="Engineering_x0020__x002d__x0020_Categories">
      <xsd:simpleType>
        <xsd:restriction base="dms:Choice">
          <xsd:enumeration value="Alliance"/>
          <xsd:enumeration value="C Ops"/>
          <xsd:enumeration value="CBL"/>
          <xsd:enumeration value="EMT"/>
          <xsd:enumeration value="Energy Study"/>
          <xsd:enumeration value="ESRP"/>
          <xsd:enumeration value="Incentive"/>
          <xsd:enumeration value="Internal"/>
          <xsd:enumeration value="LCE"/>
          <xsd:enumeration value="LD"/>
          <xsd:enumeration value="PE"/>
          <xsd:enumeration value="PIR"/>
          <xsd:enumeration value="Pre Engagement"/>
          <xsd:enumeration value="Report"/>
          <xsd:enumeration value="Road Map"/>
          <xsd:enumeration value="SEM"/>
          <xsd:enumeration value="SIP"/>
          <xsd:enumeration value="Study Proposal"/>
          <xsd:enumeration value="xRM"/>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843AE4-BA30-4B7F-8836-912619BF040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da067df9-a96b-4127-a369-96321e421208"/>
    <ds:schemaRef ds:uri="http://www.w3.org/XML/1998/namespace"/>
    <ds:schemaRef ds:uri="http://purl.org/dc/dcmitype/"/>
  </ds:schemaRefs>
</ds:datastoreItem>
</file>

<file path=customXml/itemProps2.xml><?xml version="1.0" encoding="utf-8"?>
<ds:datastoreItem xmlns:ds="http://schemas.openxmlformats.org/officeDocument/2006/customXml" ds:itemID="{8BE493A1-43D1-41A3-AAE1-706E0C97BC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067df9-a96b-4127-a369-96321e4212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FFA940-3B62-48F5-B155-53D08A9494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30</vt:i4>
      </vt:variant>
    </vt:vector>
  </HeadingPairs>
  <TitlesOfParts>
    <vt:vector size="44" baseType="lpstr">
      <vt:lpstr>Instructions</vt:lpstr>
      <vt:lpstr>1.0 Pre-Screen</vt:lpstr>
      <vt:lpstr>Variables</vt:lpstr>
      <vt:lpstr>2.0 Proposal</vt:lpstr>
      <vt:lpstr>3.0 Study Results</vt:lpstr>
      <vt:lpstr>4.0 Report Summary</vt:lpstr>
      <vt:lpstr>xRM Fields</vt:lpstr>
      <vt:lpstr>Prescreening Review</vt:lpstr>
      <vt:lpstr>Capacity Review</vt:lpstr>
      <vt:lpstr>Proposal Review</vt:lpstr>
      <vt:lpstr>Study Review</vt:lpstr>
      <vt:lpstr>Supporting Information</vt:lpstr>
      <vt:lpstr>Schedule B</vt:lpstr>
      <vt:lpstr>Schedule C</vt:lpstr>
      <vt:lpstr>Aviation</vt:lpstr>
      <vt:lpstr>CheckDec</vt:lpstr>
      <vt:lpstr>DeclareStates</vt:lpstr>
      <vt:lpstr>DeclareWidth</vt:lpstr>
      <vt:lpstr>ECMWidth</vt:lpstr>
      <vt:lpstr>FileNumber</vt:lpstr>
      <vt:lpstr>FileNumberFortis</vt:lpstr>
      <vt:lpstr>Instructions!FuelTypes</vt:lpstr>
      <vt:lpstr>FuelTypes</vt:lpstr>
      <vt:lpstr>Heavyduty</vt:lpstr>
      <vt:lpstr>HVACtemp</vt:lpstr>
      <vt:lpstr>KAM</vt:lpstr>
      <vt:lpstr>Instructions!LightDutyTruckSUVandMinivan</vt:lpstr>
      <vt:lpstr>LightDutyTruckSUVandMinivan</vt:lpstr>
      <vt:lpstr>Instructions!LightDutyVehicle</vt:lpstr>
      <vt:lpstr>LightDutyVehicle</vt:lpstr>
      <vt:lpstr>Marine</vt:lpstr>
      <vt:lpstr>Motorcycle</vt:lpstr>
      <vt:lpstr>nameandversion</vt:lpstr>
      <vt:lpstr>OffRoadVehicleEquipment</vt:lpstr>
      <vt:lpstr>Other</vt:lpstr>
      <vt:lpstr>'1.0 Pre-Screen'!Print_Area</vt:lpstr>
      <vt:lpstr>'2.0 Proposal'!Print_Area</vt:lpstr>
      <vt:lpstr>'3.0 Study Results'!Print_Area</vt:lpstr>
      <vt:lpstr>'4.0 Report Summary'!Print_Area</vt:lpstr>
      <vt:lpstr>'Schedule B'!Print_Area</vt:lpstr>
      <vt:lpstr>'Schedule C'!Print_Area</vt:lpstr>
      <vt:lpstr>'xRM Fields'!Print_Area</vt:lpstr>
      <vt:lpstr>Sector</vt:lpstr>
      <vt:lpstr>Various</vt:lpstr>
    </vt:vector>
  </TitlesOfParts>
  <Manager>Loren.Gudbjartsson@bchydro.com</Manager>
  <Company>BC Hydro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CleanBC Better Buildings Custom Workbook</dc:title>
  <dc:subject>Cost Estimates for Energy Efficiency Projects with Production Benefit</dc:subject>
  <dc:creator>Moore, Pete</dc:creator>
  <dc:description>Requested and Reviewed by Anthea Jubb</dc:description>
  <cp:lastModifiedBy>Mahdi, Salah</cp:lastModifiedBy>
  <cp:lastPrinted>2019-05-17T17:19:36Z</cp:lastPrinted>
  <dcterms:created xsi:type="dcterms:W3CDTF">2012-01-27T19:51:37Z</dcterms:created>
  <dcterms:modified xsi:type="dcterms:W3CDTF">2022-08-05T21:19:36Z</dcterms:modified>
  <cp:contentStatus>Revision 001</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linkTarget="Revision">
    <vt:lpwstr>#REF!</vt:lpwstr>
  </property>
  <property fmtid="{D5CDD505-2E9C-101B-9397-08002B2CF9AE}" pid="3" name="Revision date" linkTarget="Date">
    <vt:lpwstr>#REF!</vt:lpwstr>
  </property>
  <property fmtid="{D5CDD505-2E9C-101B-9397-08002B2CF9AE}" pid="4" name="WorkflowChangePath">
    <vt:lpwstr>d8fe83fc-4883-4a89-9054-83295c885927,4;d8fe83fc-4883-4a89-9054-83295c885927,9;d8fe83fc-4883-4a89-9054-83295c885927,15;d8fe83fc-4883-4a89-9054-83295c885927,17;d8fe83fc-4883-4a89-9054-83295c885927,5;d8fe83fc-4883-4a89-9054-83295c885927,17;d8fe83fc-4883-4a89</vt:lpwstr>
  </property>
  <property fmtid="{D5CDD505-2E9C-101B-9397-08002B2CF9AE}" pid="5" name="ContentTypeId">
    <vt:lpwstr>0x0101008C8309455C23F84EA68932F8CBFADAE0</vt:lpwstr>
  </property>
  <property fmtid="{D5CDD505-2E9C-101B-9397-08002B2CF9AE}" pid="6" name="Order">
    <vt:r8>6500</vt:r8>
  </property>
</Properties>
</file>